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300" windowWidth="11295" windowHeight="6495" tabRatio="829" activeTab="2"/>
  </bookViews>
  <sheets>
    <sheet name="UnControlled Emissions" sheetId="48" r:id="rId1"/>
    <sheet name="Controlled Emissions" sheetId="32" r:id="rId2"/>
    <sheet name="HAP" sheetId="51" r:id="rId3"/>
    <sheet name="1.4" sheetId="11" r:id="rId4"/>
    <sheet name="3.2" sheetId="22" r:id="rId5"/>
    <sheet name="5.2" sheetId="17" r:id="rId6"/>
    <sheet name="7.1" sheetId="8" r:id="rId7"/>
    <sheet name="V-B" sheetId="42" r:id="rId8"/>
    <sheet name="7.1a" sheetId="46" r:id="rId9"/>
    <sheet name="13.5" sheetId="37" r:id="rId10"/>
    <sheet name="Dehy" sheetId="52" r:id="rId11"/>
    <sheet name="Pneu" sheetId="55" r:id="rId12"/>
    <sheet name="Fug" sheetId="44" r:id="rId13"/>
    <sheet name="Gas Analysis" sheetId="54" r:id="rId14"/>
    <sheet name="Sheet1" sheetId="47" r:id="rId15"/>
    <sheet name="Sheet2" sheetId="49" r:id="rId16"/>
    <sheet name="Sheet3" sheetId="50" r:id="rId17"/>
  </sheets>
  <definedNames>
    <definedName name="API" localSheetId="8">#REF!</definedName>
    <definedName name="API" localSheetId="10">#REF!</definedName>
    <definedName name="API" localSheetId="12">#REF!</definedName>
    <definedName name="API" localSheetId="2">#REF!</definedName>
    <definedName name="API" localSheetId="11">#REF!</definedName>
    <definedName name="API" localSheetId="15">#REF!</definedName>
    <definedName name="API" localSheetId="0">#REF!</definedName>
    <definedName name="API">#REF!</definedName>
    <definedName name="MW" localSheetId="8">#REF!</definedName>
    <definedName name="MW" localSheetId="10">#REF!</definedName>
    <definedName name="MW" localSheetId="12">#REF!</definedName>
    <definedName name="MW" localSheetId="2">#REF!</definedName>
    <definedName name="MW" localSheetId="11">#REF!</definedName>
    <definedName name="MW" localSheetId="15">#REF!</definedName>
    <definedName name="MW" localSheetId="0">#REF!</definedName>
    <definedName name="MW">#REF!</definedName>
    <definedName name="P" localSheetId="8">#REF!</definedName>
    <definedName name="P" localSheetId="10">#REF!</definedName>
    <definedName name="P" localSheetId="12">#REF!</definedName>
    <definedName name="P" localSheetId="2">#REF!</definedName>
    <definedName name="P" localSheetId="11">#REF!</definedName>
    <definedName name="P" localSheetId="15">#REF!</definedName>
    <definedName name="P" localSheetId="0">#REF!</definedName>
    <definedName name="P">#REF!</definedName>
    <definedName name="Q" localSheetId="8">#REF!</definedName>
    <definedName name="Q" localSheetId="10">#REF!</definedName>
    <definedName name="Q" localSheetId="12">#REF!</definedName>
    <definedName name="Q" localSheetId="2">#REF!</definedName>
    <definedName name="Q" localSheetId="11">#REF!</definedName>
    <definedName name="Q" localSheetId="15">#REF!</definedName>
    <definedName name="Q" localSheetId="0">#REF!</definedName>
    <definedName name="Q">#REF!</definedName>
    <definedName name="SGi" localSheetId="8">#REF!</definedName>
    <definedName name="SGi" localSheetId="10">#REF!</definedName>
    <definedName name="SGi" localSheetId="12">#REF!</definedName>
    <definedName name="SGi" localSheetId="2">#REF!</definedName>
    <definedName name="SGi" localSheetId="11">#REF!</definedName>
    <definedName name="SGi" localSheetId="15">#REF!</definedName>
    <definedName name="SGi" localSheetId="0">#REF!</definedName>
    <definedName name="SGi">#REF!</definedName>
    <definedName name="SGx" localSheetId="8">#REF!</definedName>
    <definedName name="SGx" localSheetId="10">#REF!</definedName>
    <definedName name="SGx" localSheetId="12">#REF!</definedName>
    <definedName name="SGx" localSheetId="2">#REF!</definedName>
    <definedName name="SGx" localSheetId="11">#REF!</definedName>
    <definedName name="SGx" localSheetId="15">#REF!</definedName>
    <definedName name="SGx" localSheetId="0">#REF!</definedName>
    <definedName name="SGx">#REF!</definedName>
    <definedName name="THC" localSheetId="8">#REF!</definedName>
    <definedName name="THC" localSheetId="10">#REF!</definedName>
    <definedName name="THC" localSheetId="12">#REF!</definedName>
    <definedName name="THC" localSheetId="2">#REF!</definedName>
    <definedName name="THC" localSheetId="11">#REF!</definedName>
    <definedName name="THC" localSheetId="15">#REF!</definedName>
    <definedName name="THC" localSheetId="0">#REF!</definedName>
    <definedName name="THC">#REF!</definedName>
    <definedName name="Ti" localSheetId="8">#REF!</definedName>
    <definedName name="Ti" localSheetId="10">#REF!</definedName>
    <definedName name="Ti" localSheetId="12">#REF!</definedName>
    <definedName name="Ti" localSheetId="2">#REF!</definedName>
    <definedName name="Ti" localSheetId="11">#REF!</definedName>
    <definedName name="Ti" localSheetId="15">#REF!</definedName>
    <definedName name="Ti" localSheetId="0">#REF!</definedName>
    <definedName name="Ti">#REF!</definedName>
    <definedName name="VOC" localSheetId="8">#REF!</definedName>
    <definedName name="VOC" localSheetId="10">#REF!</definedName>
    <definedName name="VOC" localSheetId="12">#REF!</definedName>
    <definedName name="VOC" localSheetId="2">#REF!</definedName>
    <definedName name="VOC" localSheetId="11">#REF!</definedName>
    <definedName name="VOC" localSheetId="15">#REF!</definedName>
    <definedName name="VOC" localSheetId="0">#REF!</definedName>
    <definedName name="VOC">#REF!</definedName>
  </definedNames>
  <calcPr calcId="144525"/>
</workbook>
</file>

<file path=xl/calcChain.xml><?xml version="1.0" encoding="utf-8"?>
<calcChain xmlns="http://schemas.openxmlformats.org/spreadsheetml/2006/main">
  <c r="Y64" i="51" l="1"/>
  <c r="X64" i="51"/>
  <c r="Y63" i="51"/>
  <c r="X63" i="51"/>
  <c r="Y62" i="51"/>
  <c r="X62" i="51"/>
  <c r="Y61" i="51"/>
  <c r="X61" i="51"/>
  <c r="Y60" i="51"/>
  <c r="X60" i="51"/>
  <c r="Y59" i="51"/>
  <c r="X59" i="51"/>
  <c r="Y58" i="51"/>
  <c r="X58" i="51"/>
  <c r="Y57" i="51"/>
  <c r="X57" i="51"/>
  <c r="Y56" i="51"/>
  <c r="X56" i="51"/>
  <c r="Y55" i="51"/>
  <c r="X55" i="51"/>
  <c r="Y54" i="51"/>
  <c r="X54" i="51"/>
  <c r="Y53" i="51"/>
  <c r="X53" i="51"/>
  <c r="Y52" i="51"/>
  <c r="X52" i="51"/>
  <c r="Y51" i="51"/>
  <c r="X51" i="51"/>
  <c r="Y50" i="51"/>
  <c r="X50" i="51"/>
  <c r="Y49" i="51"/>
  <c r="X49" i="51"/>
  <c r="Y48" i="51"/>
  <c r="X48" i="51"/>
  <c r="Y47" i="51"/>
  <c r="X47" i="51"/>
  <c r="Y46" i="51"/>
  <c r="X46" i="51"/>
  <c r="Y45" i="51"/>
  <c r="X45" i="51"/>
  <c r="Y44" i="51"/>
  <c r="X44" i="51"/>
  <c r="Y43" i="51"/>
  <c r="X43" i="51"/>
  <c r="Y42" i="51"/>
  <c r="X42" i="51"/>
  <c r="Y41" i="51"/>
  <c r="X41" i="51"/>
  <c r="Y40" i="51"/>
  <c r="X40" i="51"/>
  <c r="Y39" i="51"/>
  <c r="X39" i="51"/>
  <c r="Y38" i="51"/>
  <c r="X38" i="51"/>
  <c r="Y37" i="51"/>
  <c r="X37" i="51"/>
  <c r="Y36" i="51"/>
  <c r="X36" i="51"/>
  <c r="Y35" i="51"/>
  <c r="X35" i="51"/>
  <c r="Y34" i="51"/>
  <c r="X34" i="51"/>
  <c r="Y33" i="51"/>
  <c r="X33" i="51"/>
  <c r="Y32" i="51"/>
  <c r="X32" i="51"/>
  <c r="Y31" i="51"/>
  <c r="X31" i="51"/>
  <c r="Y30" i="51"/>
  <c r="X30" i="51"/>
  <c r="Y29" i="51"/>
  <c r="X29" i="51"/>
  <c r="Y28" i="51"/>
  <c r="X28" i="51"/>
  <c r="Y27" i="51"/>
  <c r="X27" i="51"/>
  <c r="Y26" i="51"/>
  <c r="X26" i="51"/>
  <c r="Y25" i="51"/>
  <c r="X25" i="51"/>
  <c r="Y24" i="51"/>
  <c r="X24" i="51"/>
  <c r="Y23" i="51"/>
  <c r="X23" i="51"/>
  <c r="Y22" i="51"/>
  <c r="X22" i="51"/>
  <c r="Y21" i="51"/>
  <c r="X21" i="51"/>
  <c r="Y20" i="51"/>
  <c r="X20" i="51"/>
  <c r="Y19" i="51"/>
  <c r="X19" i="51"/>
  <c r="Y18" i="51"/>
  <c r="X18" i="51"/>
  <c r="Y17" i="51"/>
  <c r="X17" i="51"/>
  <c r="Y16" i="51"/>
  <c r="X16" i="51"/>
  <c r="Y15" i="51"/>
  <c r="X15" i="51"/>
  <c r="Y14" i="51"/>
  <c r="X14" i="51"/>
  <c r="Y13" i="51"/>
  <c r="X13" i="51"/>
  <c r="Y12" i="51"/>
  <c r="X12" i="51"/>
  <c r="Y11" i="51"/>
  <c r="X11" i="51"/>
  <c r="Y10" i="51"/>
  <c r="X10" i="51"/>
  <c r="Y9" i="51"/>
  <c r="X9" i="51"/>
  <c r="Y8" i="51"/>
  <c r="X8" i="51"/>
  <c r="B7" i="50" l="1"/>
  <c r="B6" i="50"/>
  <c r="O50" i="51" l="1"/>
  <c r="O42" i="51"/>
  <c r="N50" i="51"/>
  <c r="N42" i="51"/>
  <c r="L8" i="46"/>
  <c r="K8" i="46"/>
  <c r="K13" i="46"/>
  <c r="L13" i="46"/>
  <c r="D18" i="46"/>
  <c r="D17" i="46"/>
  <c r="E18" i="46"/>
  <c r="E17" i="46"/>
  <c r="E22" i="46"/>
  <c r="E21" i="46"/>
  <c r="D22" i="46"/>
  <c r="D21" i="46"/>
  <c r="K17" i="46"/>
  <c r="K18" i="46" s="1"/>
  <c r="B38" i="44" l="1"/>
  <c r="D15" i="54"/>
  <c r="K35" i="44"/>
  <c r="J35" i="44"/>
  <c r="I35" i="44"/>
  <c r="H35" i="44"/>
  <c r="G35" i="44"/>
  <c r="F35" i="44"/>
  <c r="E35" i="44"/>
  <c r="D35" i="44"/>
  <c r="K34" i="44"/>
  <c r="J34" i="44"/>
  <c r="I34" i="44"/>
  <c r="H34" i="44"/>
  <c r="F34" i="44"/>
  <c r="D34" i="44"/>
  <c r="K33" i="44"/>
  <c r="J33" i="44"/>
  <c r="I33" i="44"/>
  <c r="H33" i="44"/>
  <c r="G33" i="44"/>
  <c r="F33" i="44"/>
  <c r="D33" i="44"/>
  <c r="K32" i="44"/>
  <c r="J32" i="44"/>
  <c r="I32" i="44"/>
  <c r="H32" i="44"/>
  <c r="G32" i="44"/>
  <c r="F32" i="44"/>
  <c r="D32" i="44"/>
  <c r="K31" i="44"/>
  <c r="J31" i="44"/>
  <c r="H31" i="44"/>
  <c r="F31" i="44"/>
  <c r="D31" i="44"/>
  <c r="K30" i="44"/>
  <c r="J30" i="44"/>
  <c r="I30" i="44"/>
  <c r="H30" i="44"/>
  <c r="G30" i="44"/>
  <c r="F30" i="44"/>
  <c r="L31" i="44" l="1"/>
  <c r="M31" i="44"/>
  <c r="L33" i="44"/>
  <c r="M33" i="44"/>
  <c r="L34" i="44"/>
  <c r="M34" i="44"/>
  <c r="L32" i="44"/>
  <c r="L35" i="44"/>
  <c r="M35" i="44"/>
  <c r="M32" i="44"/>
  <c r="M30" i="44"/>
  <c r="D30" i="44"/>
  <c r="L30" i="44" s="1"/>
  <c r="F40" i="44" l="1"/>
  <c r="G40" i="44" s="1"/>
  <c r="K8" i="44" s="1"/>
  <c r="H40" i="44"/>
  <c r="K14" i="44" s="1"/>
  <c r="K13" i="44"/>
  <c r="K11" i="32"/>
  <c r="K12" i="32"/>
  <c r="K13" i="32"/>
  <c r="G22" i="42"/>
  <c r="H43" i="44" l="1"/>
  <c r="V23" i="51" s="1"/>
  <c r="H52" i="44"/>
  <c r="H44" i="44"/>
  <c r="V62" i="51" s="1"/>
  <c r="H46" i="44"/>
  <c r="H48" i="44"/>
  <c r="V53" i="51" s="1"/>
  <c r="H47" i="44"/>
  <c r="I47" i="44" s="1"/>
  <c r="W12" i="51" s="1"/>
  <c r="H53" i="44"/>
  <c r="I53" i="44" s="1"/>
  <c r="I40" i="44"/>
  <c r="K9" i="44" s="1"/>
  <c r="H45" i="44"/>
  <c r="I52" i="44"/>
  <c r="M9" i="44" s="1"/>
  <c r="I43" i="44"/>
  <c r="V12" i="51"/>
  <c r="G24" i="55"/>
  <c r="K9" i="55" s="1"/>
  <c r="K17" i="32" s="1"/>
  <c r="E24" i="55"/>
  <c r="D24" i="55" s="1"/>
  <c r="D36" i="55" s="1"/>
  <c r="E36" i="55" s="1"/>
  <c r="B4" i="55"/>
  <c r="B3" i="55"/>
  <c r="B2" i="55"/>
  <c r="B17" i="48"/>
  <c r="H50" i="44" l="1"/>
  <c r="I44" i="44"/>
  <c r="W62" i="51" s="1"/>
  <c r="V64" i="51"/>
  <c r="I46" i="44"/>
  <c r="W64" i="51" s="1"/>
  <c r="V40" i="51"/>
  <c r="I45" i="44"/>
  <c r="W40" i="51" s="1"/>
  <c r="H41" i="44"/>
  <c r="L14" i="44" s="1"/>
  <c r="I48" i="44"/>
  <c r="W53" i="51" s="1"/>
  <c r="I50" i="44"/>
  <c r="W23" i="51"/>
  <c r="C4" i="49"/>
  <c r="C4" i="47"/>
  <c r="K8" i="55"/>
  <c r="K17" i="48" s="1"/>
  <c r="K13" i="55"/>
  <c r="W17" i="48" s="1"/>
  <c r="D28" i="55"/>
  <c r="E28" i="55" s="1"/>
  <c r="D30" i="55"/>
  <c r="E30" i="55" s="1"/>
  <c r="D32" i="55"/>
  <c r="E32" i="55" s="1"/>
  <c r="D37" i="55"/>
  <c r="D27" i="55"/>
  <c r="D29" i="55"/>
  <c r="E29" i="55" s="1"/>
  <c r="D31" i="55"/>
  <c r="E31" i="55" s="1"/>
  <c r="F24" i="55"/>
  <c r="K14" i="55" s="1"/>
  <c r="W17" i="32" s="1"/>
  <c r="B19" i="52"/>
  <c r="B18" i="54"/>
  <c r="AE28" i="54" s="1"/>
  <c r="D18" i="54"/>
  <c r="AD32" i="54"/>
  <c r="AE32" i="54" s="1"/>
  <c r="AD31" i="54"/>
  <c r="AD30" i="54"/>
  <c r="AE30" i="54" s="1"/>
  <c r="AD29" i="54"/>
  <c r="AD27" i="54"/>
  <c r="AE27" i="54" s="1"/>
  <c r="AD26" i="54"/>
  <c r="AD24" i="54"/>
  <c r="AE24" i="54" s="1"/>
  <c r="AB30" i="54"/>
  <c r="AB26" i="54"/>
  <c r="AA25" i="54"/>
  <c r="AB24" i="54"/>
  <c r="Y29" i="54"/>
  <c r="Z29" i="54" s="1"/>
  <c r="Y24" i="54"/>
  <c r="U32" i="54"/>
  <c r="U31" i="54"/>
  <c r="V31" i="54" s="1"/>
  <c r="U30" i="54"/>
  <c r="U27" i="54"/>
  <c r="U26" i="54"/>
  <c r="U24" i="54"/>
  <c r="V24" i="54" s="1"/>
  <c r="V27" i="54"/>
  <c r="W27" i="54" s="1"/>
  <c r="R32" i="54"/>
  <c r="R31" i="54"/>
  <c r="S31" i="54" s="1"/>
  <c r="T31" i="54" s="1"/>
  <c r="R30" i="54"/>
  <c r="R29" i="54"/>
  <c r="R27" i="54"/>
  <c r="R26" i="54"/>
  <c r="R24" i="54"/>
  <c r="S29" i="54"/>
  <c r="T29" i="54" s="1"/>
  <c r="S26" i="54"/>
  <c r="C25" i="54"/>
  <c r="I25" i="54"/>
  <c r="J25" i="54" s="1"/>
  <c r="O31" i="54"/>
  <c r="O30" i="54"/>
  <c r="O27" i="54"/>
  <c r="O26" i="54"/>
  <c r="O24" i="54"/>
  <c r="O32" i="54"/>
  <c r="P32" i="54" s="1"/>
  <c r="P30" i="54"/>
  <c r="Q30" i="54" s="1"/>
  <c r="P28" i="54"/>
  <c r="P26" i="54"/>
  <c r="Q26" i="54" s="1"/>
  <c r="P24" i="54"/>
  <c r="K5" i="54"/>
  <c r="L32" i="54"/>
  <c r="M32" i="54" s="1"/>
  <c r="L30" i="54"/>
  <c r="M30" i="54" s="1"/>
  <c r="N30" i="54" s="1"/>
  <c r="L29" i="54"/>
  <c r="M29" i="54" s="1"/>
  <c r="L28" i="54"/>
  <c r="L27" i="54"/>
  <c r="M27" i="54" s="1"/>
  <c r="L26" i="54"/>
  <c r="L24" i="54"/>
  <c r="M24" i="54" s="1"/>
  <c r="M31" i="54"/>
  <c r="N31" i="54" s="1"/>
  <c r="M28" i="54"/>
  <c r="J32" i="54"/>
  <c r="K32" i="54" s="1"/>
  <c r="J31" i="54"/>
  <c r="J30" i="54"/>
  <c r="K30" i="54" s="1"/>
  <c r="J29" i="54"/>
  <c r="J28" i="54"/>
  <c r="K28" i="54" s="1"/>
  <c r="J27" i="54"/>
  <c r="J26" i="54"/>
  <c r="K26" i="54" s="1"/>
  <c r="J24" i="54"/>
  <c r="F32" i="54"/>
  <c r="G32" i="54" s="1"/>
  <c r="H32" i="54" s="1"/>
  <c r="F31" i="54"/>
  <c r="G31" i="54" s="1"/>
  <c r="F30" i="54"/>
  <c r="F29" i="54"/>
  <c r="F28" i="54"/>
  <c r="F27" i="54"/>
  <c r="F26" i="54"/>
  <c r="F24" i="54"/>
  <c r="G30" i="54"/>
  <c r="H30" i="54" s="1"/>
  <c r="G29" i="54"/>
  <c r="G28" i="54"/>
  <c r="H28" i="54" s="1"/>
  <c r="G27" i="54"/>
  <c r="G26" i="54"/>
  <c r="H26" i="54" s="1"/>
  <c r="G24" i="54"/>
  <c r="D32" i="54"/>
  <c r="D31" i="54"/>
  <c r="D30" i="54"/>
  <c r="D29" i="54"/>
  <c r="D28" i="54"/>
  <c r="D27" i="54"/>
  <c r="D26" i="54"/>
  <c r="D24" i="54"/>
  <c r="N13" i="54"/>
  <c r="N12" i="54"/>
  <c r="N11" i="54"/>
  <c r="N10" i="54"/>
  <c r="N9" i="54"/>
  <c r="N8" i="54"/>
  <c r="N7" i="54"/>
  <c r="N6" i="54"/>
  <c r="M5" i="54"/>
  <c r="N5" i="54" s="1"/>
  <c r="N4" i="54"/>
  <c r="I5" i="54"/>
  <c r="J5" i="54" s="1"/>
  <c r="G5" i="54"/>
  <c r="H5" i="54" s="1"/>
  <c r="E5" i="54"/>
  <c r="F5" i="54" s="1"/>
  <c r="C5" i="54"/>
  <c r="D5" i="54" s="1"/>
  <c r="J6" i="54"/>
  <c r="H6" i="54"/>
  <c r="F6" i="54"/>
  <c r="D6" i="54"/>
  <c r="B6" i="54" s="1"/>
  <c r="L6" i="54"/>
  <c r="J13" i="54"/>
  <c r="J12" i="54"/>
  <c r="J11" i="54"/>
  <c r="J10" i="54"/>
  <c r="J9" i="54"/>
  <c r="J8" i="54"/>
  <c r="J7" i="54"/>
  <c r="J4" i="54"/>
  <c r="H13" i="54"/>
  <c r="H12" i="54"/>
  <c r="H11" i="54"/>
  <c r="H10" i="54"/>
  <c r="H9" i="54"/>
  <c r="H8" i="54"/>
  <c r="H7" i="54"/>
  <c r="H4" i="54"/>
  <c r="F13" i="54"/>
  <c r="F12" i="54"/>
  <c r="F11" i="54"/>
  <c r="F10" i="54"/>
  <c r="F9" i="54"/>
  <c r="F8" i="54"/>
  <c r="F7" i="54"/>
  <c r="F4" i="54"/>
  <c r="D13" i="54"/>
  <c r="D12" i="54"/>
  <c r="D11" i="54"/>
  <c r="D10" i="54"/>
  <c r="D9" i="54"/>
  <c r="D8" i="54"/>
  <c r="D7" i="54"/>
  <c r="D4" i="54"/>
  <c r="F20" i="8"/>
  <c r="L9" i="46"/>
  <c r="Q66" i="51"/>
  <c r="P66" i="51"/>
  <c r="O66" i="51"/>
  <c r="B17" i="32"/>
  <c r="I41" i="44" l="1"/>
  <c r="L9" i="44" s="1"/>
  <c r="H24" i="54"/>
  <c r="H27" i="54"/>
  <c r="H29" i="54"/>
  <c r="H31" i="54"/>
  <c r="K24" i="54"/>
  <c r="K27" i="54"/>
  <c r="K29" i="54"/>
  <c r="K31" i="54"/>
  <c r="N28" i="54"/>
  <c r="N24" i="54"/>
  <c r="N27" i="54"/>
  <c r="N29" i="54"/>
  <c r="N32" i="54"/>
  <c r="Q24" i="54"/>
  <c r="Q28" i="54"/>
  <c r="Q32" i="54"/>
  <c r="K25" i="54"/>
  <c r="T26" i="54"/>
  <c r="W24" i="54"/>
  <c r="W31" i="54"/>
  <c r="Z24" i="54"/>
  <c r="AC24" i="54"/>
  <c r="AF28" i="54"/>
  <c r="E27" i="55"/>
  <c r="E25" i="55" s="1"/>
  <c r="L8" i="55" s="1"/>
  <c r="L17" i="48" s="1"/>
  <c r="D25" i="55"/>
  <c r="B4" i="49"/>
  <c r="B4" i="47"/>
  <c r="D34" i="55"/>
  <c r="E37" i="55"/>
  <c r="E34" i="55" s="1"/>
  <c r="M8" i="55" s="1"/>
  <c r="M17" i="48" s="1"/>
  <c r="F37" i="55"/>
  <c r="G37" i="55" s="1"/>
  <c r="F32" i="55"/>
  <c r="T53" i="51" s="1"/>
  <c r="F30" i="55"/>
  <c r="F28" i="55"/>
  <c r="T62" i="51" s="1"/>
  <c r="F36" i="55"/>
  <c r="F31" i="55"/>
  <c r="T12" i="51" s="1"/>
  <c r="F29" i="55"/>
  <c r="F27" i="55"/>
  <c r="F25" i="55" s="1"/>
  <c r="L14" i="55" s="1"/>
  <c r="X17" i="32" s="1"/>
  <c r="G32" i="55"/>
  <c r="U53" i="51" s="1"/>
  <c r="P27" i="54"/>
  <c r="Q27" i="54" s="1"/>
  <c r="P29" i="54"/>
  <c r="P31" i="54"/>
  <c r="S28" i="54"/>
  <c r="S24" i="54"/>
  <c r="S27" i="54"/>
  <c r="S30" i="54"/>
  <c r="V29" i="54"/>
  <c r="W29" i="54" s="1"/>
  <c r="Y27" i="54"/>
  <c r="Z27" i="54" s="1"/>
  <c r="Y31" i="54"/>
  <c r="Z31" i="54" s="1"/>
  <c r="AB28" i="54"/>
  <c r="AB32" i="54"/>
  <c r="S32" i="54"/>
  <c r="T32" i="54" s="1"/>
  <c r="V28" i="54"/>
  <c r="W28" i="54" s="1"/>
  <c r="V32" i="54"/>
  <c r="W32" i="54" s="1"/>
  <c r="V26" i="54"/>
  <c r="W26" i="54" s="1"/>
  <c r="V30" i="54"/>
  <c r="W30" i="54" s="1"/>
  <c r="Y26" i="54"/>
  <c r="Z26" i="54" s="1"/>
  <c r="Y28" i="54"/>
  <c r="Z28" i="54" s="1"/>
  <c r="Y30" i="54"/>
  <c r="Z30" i="54" s="1"/>
  <c r="Y32" i="54"/>
  <c r="Z32" i="54" s="1"/>
  <c r="AB25" i="54"/>
  <c r="AC25" i="54" s="1"/>
  <c r="AB27" i="54"/>
  <c r="AC27" i="54" s="1"/>
  <c r="AB29" i="54"/>
  <c r="AC29" i="54" s="1"/>
  <c r="AB31" i="54"/>
  <c r="AC31" i="54" s="1"/>
  <c r="AE26" i="54"/>
  <c r="AF26" i="54" s="1"/>
  <c r="AE29" i="54"/>
  <c r="AF29" i="54" s="1"/>
  <c r="AE31" i="54"/>
  <c r="AF31" i="54" s="1"/>
  <c r="AC28" i="54"/>
  <c r="Q29" i="54"/>
  <c r="Q31" i="54"/>
  <c r="T28" i="54"/>
  <c r="T24" i="54"/>
  <c r="T27" i="54"/>
  <c r="T30" i="54"/>
  <c r="AC26" i="54"/>
  <c r="AC30" i="54"/>
  <c r="AC32" i="54"/>
  <c r="AF24" i="54"/>
  <c r="AF27" i="54"/>
  <c r="AF30" i="54"/>
  <c r="AF32" i="54"/>
  <c r="F25" i="54"/>
  <c r="L25" i="54"/>
  <c r="M25" i="54" s="1"/>
  <c r="N25" i="54" s="1"/>
  <c r="O25" i="54"/>
  <c r="AD25" i="54"/>
  <c r="AE25" i="54" s="1"/>
  <c r="AF25" i="54" s="1"/>
  <c r="X25" i="54"/>
  <c r="Y25" i="54" s="1"/>
  <c r="Z25" i="54" s="1"/>
  <c r="U25" i="54"/>
  <c r="V25" i="54" s="1"/>
  <c r="W25" i="54" s="1"/>
  <c r="R25" i="54"/>
  <c r="S25" i="54" s="1"/>
  <c r="T25" i="54" s="1"/>
  <c r="M26" i="54"/>
  <c r="N26" i="54" s="1"/>
  <c r="P25" i="54"/>
  <c r="Q25" i="54" s="1"/>
  <c r="G25" i="54"/>
  <c r="H25" i="54" s="1"/>
  <c r="E34" i="17"/>
  <c r="G34" i="17" s="1"/>
  <c r="I12" i="51" s="1"/>
  <c r="K34" i="17"/>
  <c r="L34" i="17" s="1"/>
  <c r="F47" i="44"/>
  <c r="N66" i="51"/>
  <c r="E32" i="54"/>
  <c r="E31" i="54"/>
  <c r="E30" i="54"/>
  <c r="E29" i="54"/>
  <c r="E28" i="54"/>
  <c r="E27" i="54"/>
  <c r="E26" i="54"/>
  <c r="E24" i="54"/>
  <c r="P12" i="54"/>
  <c r="P11" i="54"/>
  <c r="P10" i="54"/>
  <c r="P9" i="54"/>
  <c r="P8" i="54"/>
  <c r="P7" i="54"/>
  <c r="O5" i="54"/>
  <c r="P5" i="54" s="1"/>
  <c r="P4" i="54"/>
  <c r="L4" i="54"/>
  <c r="B4" i="54" s="1"/>
  <c r="L13" i="54"/>
  <c r="B13" i="54" s="1"/>
  <c r="L12" i="54"/>
  <c r="B12" i="54" s="1"/>
  <c r="L11" i="54"/>
  <c r="B11" i="54" s="1"/>
  <c r="L10" i="54"/>
  <c r="B10" i="54" s="1"/>
  <c r="L9" i="54"/>
  <c r="B9" i="54" s="1"/>
  <c r="L8" i="54"/>
  <c r="B8" i="54" s="1"/>
  <c r="L7" i="54"/>
  <c r="B7" i="54" s="1"/>
  <c r="L5" i="54"/>
  <c r="B5" i="54" s="1"/>
  <c r="G31" i="55" l="1"/>
  <c r="U12" i="51" s="1"/>
  <c r="G29" i="55"/>
  <c r="U40" i="51" s="1"/>
  <c r="T40" i="51"/>
  <c r="G27" i="55"/>
  <c r="U23" i="51" s="1"/>
  <c r="T23" i="51"/>
  <c r="G30" i="55"/>
  <c r="U64" i="51" s="1"/>
  <c r="T64" i="51"/>
  <c r="G36" i="55"/>
  <c r="G34" i="55" s="1"/>
  <c r="M9" i="55" s="1"/>
  <c r="M17" i="32" s="1"/>
  <c r="F34" i="55"/>
  <c r="G28" i="55"/>
  <c r="B24" i="54"/>
  <c r="H17" i="52" s="1"/>
  <c r="G17" i="52" s="1"/>
  <c r="B29" i="54"/>
  <c r="H23" i="52" s="1"/>
  <c r="G23" i="52" s="1"/>
  <c r="R64" i="51" s="1"/>
  <c r="B31" i="54"/>
  <c r="H24" i="52" s="1"/>
  <c r="B27" i="54"/>
  <c r="H21" i="52" s="1"/>
  <c r="B32" i="54"/>
  <c r="H29" i="52" s="1"/>
  <c r="B28" i="54"/>
  <c r="H22" i="52" s="1"/>
  <c r="B26" i="54"/>
  <c r="H20" i="52" s="1"/>
  <c r="B30" i="54"/>
  <c r="H25" i="52" s="1"/>
  <c r="F44" i="44"/>
  <c r="G44" i="44" s="1"/>
  <c r="K31" i="17"/>
  <c r="L31" i="17" s="1"/>
  <c r="F43" i="44"/>
  <c r="K30" i="17"/>
  <c r="F48" i="44"/>
  <c r="K35" i="17"/>
  <c r="M35" i="17" s="1"/>
  <c r="F53" i="44"/>
  <c r="G53" i="44" s="1"/>
  <c r="K40" i="17"/>
  <c r="M40" i="17" s="1"/>
  <c r="E39" i="17"/>
  <c r="G39" i="17" s="1"/>
  <c r="K39" i="17"/>
  <c r="F52" i="44"/>
  <c r="G52" i="44" s="1"/>
  <c r="M8" i="44" s="1"/>
  <c r="K32" i="17"/>
  <c r="M32" i="17" s="1"/>
  <c r="K33" i="17"/>
  <c r="L33" i="17" s="1"/>
  <c r="L40" i="17"/>
  <c r="D25" i="54"/>
  <c r="E25" i="54" s="1"/>
  <c r="M34" i="17"/>
  <c r="F34" i="17"/>
  <c r="H12" i="51" s="1"/>
  <c r="F45" i="44"/>
  <c r="F46" i="44"/>
  <c r="G46" i="44" s="1"/>
  <c r="G47" i="44"/>
  <c r="M31" i="17"/>
  <c r="L30" i="17"/>
  <c r="L32" i="17"/>
  <c r="L35" i="17"/>
  <c r="M30" i="17"/>
  <c r="H58" i="22"/>
  <c r="J64" i="22" s="1"/>
  <c r="G50" i="44" l="1"/>
  <c r="G45" i="44"/>
  <c r="G25" i="55"/>
  <c r="L9" i="55" s="1"/>
  <c r="L17" i="32" s="1"/>
  <c r="U62" i="51"/>
  <c r="H64" i="22"/>
  <c r="N64" i="22"/>
  <c r="M64" i="22"/>
  <c r="L64" i="22"/>
  <c r="I64" i="22"/>
  <c r="K64" i="22"/>
  <c r="L13" i="55"/>
  <c r="X17" i="48" s="1"/>
  <c r="S64" i="51"/>
  <c r="B25" i="54"/>
  <c r="H18" i="52" s="1"/>
  <c r="G18" i="52" s="1"/>
  <c r="G20" i="52"/>
  <c r="R23" i="51" s="1"/>
  <c r="S23" i="51"/>
  <c r="G24" i="52"/>
  <c r="R12" i="51" s="1"/>
  <c r="S12" i="51"/>
  <c r="G25" i="52"/>
  <c r="R53" i="51" s="1"/>
  <c r="S53" i="51"/>
  <c r="G22" i="52"/>
  <c r="R40" i="51" s="1"/>
  <c r="S40" i="51"/>
  <c r="G21" i="52"/>
  <c r="R62" i="51" s="1"/>
  <c r="S62" i="51"/>
  <c r="H27" i="52"/>
  <c r="G29" i="52"/>
  <c r="G48" i="44"/>
  <c r="M33" i="17"/>
  <c r="F50" i="44"/>
  <c r="F39" i="17"/>
  <c r="K28" i="17"/>
  <c r="G43" i="44"/>
  <c r="M39" i="17"/>
  <c r="M37" i="17" s="1"/>
  <c r="K37" i="17"/>
  <c r="L39" i="17"/>
  <c r="L37" i="17" s="1"/>
  <c r="F41" i="44"/>
  <c r="L13" i="44" s="1"/>
  <c r="V66" i="51"/>
  <c r="M28" i="17"/>
  <c r="L28" i="17"/>
  <c r="B4" i="52"/>
  <c r="B3" i="52"/>
  <c r="B2" i="52"/>
  <c r="AH59" i="51"/>
  <c r="AH57" i="51"/>
  <c r="AH56" i="51"/>
  <c r="AH55" i="51"/>
  <c r="AH47" i="51"/>
  <c r="AH46" i="51"/>
  <c r="AH44" i="51"/>
  <c r="AH43" i="51"/>
  <c r="AH42" i="51"/>
  <c r="AH41" i="51"/>
  <c r="AH39" i="51"/>
  <c r="AH38" i="51"/>
  <c r="AH36" i="51"/>
  <c r="AH28" i="51"/>
  <c r="AH27" i="51"/>
  <c r="AH26" i="51"/>
  <c r="AH25" i="51"/>
  <c r="AH24" i="51"/>
  <c r="AH22" i="51"/>
  <c r="AH20" i="51"/>
  <c r="AH17" i="51"/>
  <c r="AH16" i="51"/>
  <c r="AH15" i="51"/>
  <c r="AH14" i="51"/>
  <c r="AH13" i="51"/>
  <c r="AH12" i="51"/>
  <c r="AG59" i="51"/>
  <c r="AG57" i="51"/>
  <c r="AG56" i="51"/>
  <c r="AG55" i="51"/>
  <c r="AG47" i="51"/>
  <c r="AG46" i="51"/>
  <c r="AG44" i="51"/>
  <c r="AG43" i="51"/>
  <c r="AG42" i="51"/>
  <c r="AG41" i="51"/>
  <c r="AG39" i="51"/>
  <c r="AG38" i="51"/>
  <c r="AG36" i="51"/>
  <c r="AG28" i="51"/>
  <c r="AG27" i="51"/>
  <c r="AG26" i="51"/>
  <c r="AG25" i="51"/>
  <c r="AG24" i="51"/>
  <c r="AG22" i="51"/>
  <c r="AG20" i="51"/>
  <c r="AG17" i="51"/>
  <c r="AG16" i="51"/>
  <c r="AG15" i="51"/>
  <c r="AG14" i="51"/>
  <c r="AG13" i="51"/>
  <c r="AG12" i="51"/>
  <c r="F6" i="51"/>
  <c r="D6" i="51"/>
  <c r="B4" i="51"/>
  <c r="B3" i="51"/>
  <c r="B2" i="51"/>
  <c r="B16" i="48"/>
  <c r="G27" i="52" l="1"/>
  <c r="M9" i="52"/>
  <c r="M8" i="52" s="1"/>
  <c r="W66" i="51"/>
  <c r="G41" i="44"/>
  <c r="L8" i="44" s="1"/>
  <c r="K14" i="52"/>
  <c r="K13" i="52" s="1"/>
  <c r="B16" i="32"/>
  <c r="W16" i="32" l="1"/>
  <c r="W16" i="48"/>
  <c r="L14" i="52"/>
  <c r="L13" i="52" s="1"/>
  <c r="K9" i="52"/>
  <c r="R66" i="51"/>
  <c r="L9" i="52"/>
  <c r="L8" i="52" s="1"/>
  <c r="M15" i="48"/>
  <c r="C9" i="49"/>
  <c r="B9" i="49"/>
  <c r="M16" i="32" l="1"/>
  <c r="K8" i="52"/>
  <c r="S66" i="51"/>
  <c r="L16" i="32"/>
  <c r="L16" i="48"/>
  <c r="X16" i="32"/>
  <c r="X16" i="48"/>
  <c r="K16" i="32"/>
  <c r="C9" i="47"/>
  <c r="B9" i="47"/>
  <c r="R15" i="48"/>
  <c r="Q15" i="48"/>
  <c r="T20" i="48"/>
  <c r="S10" i="48"/>
  <c r="M14" i="48"/>
  <c r="F15" i="48"/>
  <c r="E15" i="48"/>
  <c r="G10" i="48"/>
  <c r="B4" i="48"/>
  <c r="B3" i="48"/>
  <c r="B2" i="48"/>
  <c r="H20" i="48"/>
  <c r="J27" i="17"/>
  <c r="J24" i="17"/>
  <c r="B11" i="48"/>
  <c r="B13" i="48"/>
  <c r="B14" i="48"/>
  <c r="B10" i="48"/>
  <c r="B9" i="48"/>
  <c r="B18" i="48"/>
  <c r="B12" i="48"/>
  <c r="B15" i="48"/>
  <c r="C2" i="47" l="1"/>
  <c r="C2" i="49"/>
  <c r="K16" i="48"/>
  <c r="M16" i="48"/>
  <c r="K19" i="42"/>
  <c r="F16" i="8"/>
  <c r="B2" i="47" l="1"/>
  <c r="B2" i="49"/>
  <c r="M14" i="32"/>
  <c r="L14" i="46"/>
  <c r="K9" i="46"/>
  <c r="K14" i="32" s="1"/>
  <c r="B4" i="46"/>
  <c r="B3" i="46"/>
  <c r="B2" i="46"/>
  <c r="B14" i="32"/>
  <c r="L14" i="32" l="1"/>
  <c r="K14" i="46"/>
  <c r="M18" i="48"/>
  <c r="L18" i="48"/>
  <c r="K18" i="48"/>
  <c r="B4" i="44"/>
  <c r="B3" i="44"/>
  <c r="B2" i="44"/>
  <c r="G23" i="42"/>
  <c r="F23" i="22"/>
  <c r="G23" i="22" s="1"/>
  <c r="F24" i="22"/>
  <c r="G24" i="22" s="1"/>
  <c r="B18" i="32"/>
  <c r="W14" i="32" l="1"/>
  <c r="X14" i="32"/>
  <c r="K14" i="48"/>
  <c r="L14" i="48"/>
  <c r="B6" i="49"/>
  <c r="B6" i="47"/>
  <c r="M18" i="32"/>
  <c r="K18" i="32"/>
  <c r="L18" i="32"/>
  <c r="W14" i="48" l="1"/>
  <c r="X14" i="48"/>
  <c r="C6" i="49"/>
  <c r="C6" i="47"/>
  <c r="W18" i="48"/>
  <c r="W18" i="32"/>
  <c r="X18" i="32"/>
  <c r="X18" i="48"/>
  <c r="L33" i="42"/>
  <c r="G30" i="42"/>
  <c r="L34" i="42"/>
  <c r="L35" i="42"/>
  <c r="B2" i="42"/>
  <c r="B3" i="42"/>
  <c r="B4" i="42"/>
  <c r="E27" i="37"/>
  <c r="F27" i="37" s="1"/>
  <c r="D28" i="37"/>
  <c r="E28" i="37" s="1"/>
  <c r="F28" i="37" s="1"/>
  <c r="E26" i="37"/>
  <c r="F26" i="37" s="1"/>
  <c r="F34" i="37"/>
  <c r="E34" i="37" s="1"/>
  <c r="F33" i="37"/>
  <c r="E33" i="37" s="1"/>
  <c r="G33" i="37" s="1"/>
  <c r="E22" i="37"/>
  <c r="E21" i="37"/>
  <c r="B2" i="37"/>
  <c r="B3" i="37"/>
  <c r="B4" i="37"/>
  <c r="F21" i="37"/>
  <c r="E9" i="37" s="1"/>
  <c r="E15" i="32" s="1"/>
  <c r="F22" i="37"/>
  <c r="F9" i="37" s="1"/>
  <c r="E14" i="37"/>
  <c r="Q15" i="32" s="1"/>
  <c r="F14" i="37"/>
  <c r="R15" i="32" s="1"/>
  <c r="F36" i="37"/>
  <c r="E30" i="37" s="1"/>
  <c r="B20" i="22"/>
  <c r="G30" i="22" s="1"/>
  <c r="H30" i="22" s="1"/>
  <c r="E40" i="22"/>
  <c r="F13" i="51" s="1"/>
  <c r="E42" i="22"/>
  <c r="F17" i="51" s="1"/>
  <c r="E44" i="22"/>
  <c r="F19" i="51" s="1"/>
  <c r="E46" i="22"/>
  <c r="F22" i="51" s="1"/>
  <c r="E48" i="22"/>
  <c r="F24" i="51" s="1"/>
  <c r="E50" i="22"/>
  <c r="F26" i="51" s="1"/>
  <c r="E52" i="22"/>
  <c r="F28" i="51" s="1"/>
  <c r="E54" i="22"/>
  <c r="F32" i="51" s="1"/>
  <c r="E56" i="22"/>
  <c r="F34" i="51" s="1"/>
  <c r="E58" i="22"/>
  <c r="F40" i="51" s="1"/>
  <c r="E60" i="22"/>
  <c r="F43" i="51" s="1"/>
  <c r="E62" i="22"/>
  <c r="F62" i="22" s="1"/>
  <c r="G45" i="51" s="1"/>
  <c r="E64" i="22"/>
  <c r="F50" i="51" s="1"/>
  <c r="E66" i="22"/>
  <c r="F53" i="51" s="1"/>
  <c r="E68" i="22"/>
  <c r="F55" i="51" s="1"/>
  <c r="E70" i="22"/>
  <c r="F57" i="51" s="1"/>
  <c r="E72" i="22"/>
  <c r="F59" i="51" s="1"/>
  <c r="E74" i="22"/>
  <c r="F62" i="51" s="1"/>
  <c r="E76" i="22"/>
  <c r="F64" i="51" s="1"/>
  <c r="G26" i="22"/>
  <c r="J14" i="22" s="1"/>
  <c r="J13" i="22" s="1"/>
  <c r="V10" i="48" s="1"/>
  <c r="G25" i="22"/>
  <c r="I14" i="22" s="1"/>
  <c r="U10" i="32" s="1"/>
  <c r="F14" i="22"/>
  <c r="F13" i="22" s="1"/>
  <c r="R10" i="48" s="1"/>
  <c r="E14" i="22"/>
  <c r="G27" i="22"/>
  <c r="D14" i="22" s="1"/>
  <c r="D13" i="22" s="1"/>
  <c r="P10" i="48" s="1"/>
  <c r="H24" i="22"/>
  <c r="F9" i="22" s="1"/>
  <c r="F8" i="22" s="1"/>
  <c r="F10" i="48" s="1"/>
  <c r="H23" i="22"/>
  <c r="E9" i="22" s="1"/>
  <c r="E33" i="11"/>
  <c r="F33" i="11" s="1"/>
  <c r="G33" i="11" s="1"/>
  <c r="E34" i="11"/>
  <c r="F34" i="11" s="1"/>
  <c r="G34" i="11" s="1"/>
  <c r="E35" i="11"/>
  <c r="F35" i="11" s="1"/>
  <c r="G35" i="11" s="1"/>
  <c r="E23" i="11"/>
  <c r="F23" i="11" s="1"/>
  <c r="G23" i="11" s="1"/>
  <c r="E28" i="11"/>
  <c r="F28" i="11" s="1"/>
  <c r="I13" i="11" s="1"/>
  <c r="U9" i="48" s="1"/>
  <c r="E32" i="11"/>
  <c r="E73" i="11"/>
  <c r="F73" i="11" s="1"/>
  <c r="E72" i="11"/>
  <c r="F72" i="11" s="1"/>
  <c r="D54" i="51" s="1"/>
  <c r="E71" i="11"/>
  <c r="F71" i="11" s="1"/>
  <c r="E70" i="11"/>
  <c r="F70" i="11" s="1"/>
  <c r="E69" i="11"/>
  <c r="F69" i="11" s="1"/>
  <c r="E68" i="11"/>
  <c r="F68" i="11" s="1"/>
  <c r="E67" i="11"/>
  <c r="F67" i="11" s="1"/>
  <c r="E66" i="11"/>
  <c r="F66" i="11" s="1"/>
  <c r="E65" i="11"/>
  <c r="F65" i="11" s="1"/>
  <c r="E64" i="11"/>
  <c r="F64" i="11" s="1"/>
  <c r="E63" i="11"/>
  <c r="F63" i="11" s="1"/>
  <c r="E62" i="11"/>
  <c r="F62" i="11" s="1"/>
  <c r="E61" i="11"/>
  <c r="F61" i="11" s="1"/>
  <c r="E60" i="11"/>
  <c r="F60" i="11" s="1"/>
  <c r="E59" i="11"/>
  <c r="F59" i="11" s="1"/>
  <c r="E58" i="11"/>
  <c r="F58" i="11" s="1"/>
  <c r="D53" i="51" s="1"/>
  <c r="E57" i="11"/>
  <c r="F57" i="11" s="1"/>
  <c r="E56" i="11"/>
  <c r="F56" i="11" s="1"/>
  <c r="E55" i="11"/>
  <c r="F55" i="11" s="1"/>
  <c r="E54" i="11"/>
  <c r="F54" i="11" s="1"/>
  <c r="E53" i="11"/>
  <c r="F53" i="11" s="1"/>
  <c r="E52" i="11"/>
  <c r="F52" i="11" s="1"/>
  <c r="E51" i="11"/>
  <c r="F51" i="11" s="1"/>
  <c r="E50" i="11"/>
  <c r="F50" i="11" s="1"/>
  <c r="E49" i="11"/>
  <c r="F49" i="11" s="1"/>
  <c r="E48" i="11"/>
  <c r="F48" i="11" s="1"/>
  <c r="E47" i="11"/>
  <c r="F47" i="11" s="1"/>
  <c r="E46" i="11"/>
  <c r="F46" i="11" s="1"/>
  <c r="E45" i="11"/>
  <c r="F45" i="11" s="1"/>
  <c r="E44" i="11"/>
  <c r="F44" i="11" s="1"/>
  <c r="E43" i="11"/>
  <c r="F43" i="11" s="1"/>
  <c r="E42" i="11"/>
  <c r="F42" i="11" s="1"/>
  <c r="E41" i="11"/>
  <c r="F41" i="11" s="1"/>
  <c r="E40" i="11"/>
  <c r="F40" i="11" s="1"/>
  <c r="D13" i="51" s="1"/>
  <c r="F32" i="11"/>
  <c r="G32" i="11" s="1"/>
  <c r="G9" i="11" s="1"/>
  <c r="G9" i="32" s="1"/>
  <c r="E31" i="11"/>
  <c r="F31" i="11" s="1"/>
  <c r="E30" i="11"/>
  <c r="F30" i="11" s="1"/>
  <c r="E29" i="11"/>
  <c r="F29" i="11" s="1"/>
  <c r="E27" i="11"/>
  <c r="F27" i="11" s="1"/>
  <c r="E26" i="11"/>
  <c r="F26" i="11" s="1"/>
  <c r="E22" i="11"/>
  <c r="F22" i="11" s="1"/>
  <c r="E21" i="11"/>
  <c r="F21" i="11" s="1"/>
  <c r="G14" i="11"/>
  <c r="S9" i="32" s="1"/>
  <c r="E17" i="17"/>
  <c r="K27" i="17" s="1"/>
  <c r="F24" i="17"/>
  <c r="D27" i="17" s="1"/>
  <c r="B4" i="22"/>
  <c r="B3" i="22"/>
  <c r="B2" i="22"/>
  <c r="B4" i="17"/>
  <c r="B3" i="17"/>
  <c r="B2" i="17"/>
  <c r="B4" i="8"/>
  <c r="B3" i="8"/>
  <c r="B2" i="8"/>
  <c r="B4" i="11"/>
  <c r="B3" i="11"/>
  <c r="B2" i="11"/>
  <c r="G10" i="32"/>
  <c r="F10" i="32"/>
  <c r="S10" i="32"/>
  <c r="B11" i="32"/>
  <c r="G28" i="22" l="1"/>
  <c r="K14" i="22" s="1"/>
  <c r="E75" i="22"/>
  <c r="E73" i="22"/>
  <c r="E71" i="22"/>
  <c r="E69" i="22"/>
  <c r="E67" i="22"/>
  <c r="E65" i="22"/>
  <c r="E63" i="22"/>
  <c r="E61" i="22"/>
  <c r="E59" i="22"/>
  <c r="E57" i="22"/>
  <c r="E55" i="22"/>
  <c r="E53" i="22"/>
  <c r="E51" i="22"/>
  <c r="E49" i="22"/>
  <c r="E47" i="22"/>
  <c r="E45" i="22"/>
  <c r="E43" i="22"/>
  <c r="E41" i="22"/>
  <c r="E38" i="22"/>
  <c r="E36" i="22"/>
  <c r="F9" i="51" s="1"/>
  <c r="AH9" i="51" s="1"/>
  <c r="F68" i="22"/>
  <c r="G55" i="51" s="1"/>
  <c r="F52" i="22"/>
  <c r="G28" i="51" s="1"/>
  <c r="P10" i="32"/>
  <c r="V10" i="32"/>
  <c r="F76" i="22"/>
  <c r="G64" i="51" s="1"/>
  <c r="F60" i="22"/>
  <c r="G43" i="51" s="1"/>
  <c r="F44" i="22"/>
  <c r="G19" i="51" s="1"/>
  <c r="F72" i="22"/>
  <c r="G59" i="51" s="1"/>
  <c r="F64" i="22"/>
  <c r="G50" i="51" s="1"/>
  <c r="F56" i="22"/>
  <c r="G34" i="51" s="1"/>
  <c r="F48" i="22"/>
  <c r="G24" i="51" s="1"/>
  <c r="F40" i="22"/>
  <c r="G13" i="51" s="1"/>
  <c r="H27" i="22"/>
  <c r="D9" i="22" s="1"/>
  <c r="F74" i="22"/>
  <c r="G62" i="51" s="1"/>
  <c r="F70" i="22"/>
  <c r="G57" i="51" s="1"/>
  <c r="F66" i="22"/>
  <c r="G53" i="51" s="1"/>
  <c r="F58" i="22"/>
  <c r="G40" i="51" s="1"/>
  <c r="F54" i="22"/>
  <c r="G32" i="51" s="1"/>
  <c r="F50" i="22"/>
  <c r="G26" i="51" s="1"/>
  <c r="F46" i="22"/>
  <c r="G22" i="51" s="1"/>
  <c r="F42" i="22"/>
  <c r="G17" i="51" s="1"/>
  <c r="F36" i="22"/>
  <c r="G9" i="51" s="1"/>
  <c r="H26" i="22"/>
  <c r="J9" i="22" s="1"/>
  <c r="J8" i="22" s="1"/>
  <c r="J10" i="48" s="1"/>
  <c r="F45" i="51"/>
  <c r="G41" i="11"/>
  <c r="E14" i="51" s="1"/>
  <c r="D14" i="51"/>
  <c r="G42" i="11"/>
  <c r="E15" i="51" s="1"/>
  <c r="D15" i="51"/>
  <c r="G44" i="11"/>
  <c r="E17" i="51" s="1"/>
  <c r="D17" i="51"/>
  <c r="G46" i="11"/>
  <c r="E22" i="51" s="1"/>
  <c r="D22" i="51"/>
  <c r="G48" i="11"/>
  <c r="E24" i="51" s="1"/>
  <c r="D24" i="51"/>
  <c r="G50" i="11"/>
  <c r="E27" i="51" s="1"/>
  <c r="D27" i="51"/>
  <c r="G52" i="11"/>
  <c r="E36" i="51" s="1"/>
  <c r="D36" i="51"/>
  <c r="G54" i="11"/>
  <c r="E39" i="51" s="1"/>
  <c r="D39" i="51"/>
  <c r="G56" i="11"/>
  <c r="E44" i="51" s="1"/>
  <c r="D44" i="51"/>
  <c r="G58" i="11"/>
  <c r="E53" i="51" s="1"/>
  <c r="G60" i="11"/>
  <c r="E52" i="51" s="1"/>
  <c r="D52" i="51"/>
  <c r="G62" i="11"/>
  <c r="E59" i="51" s="1"/>
  <c r="D59" i="51"/>
  <c r="G64" i="11"/>
  <c r="E21" i="51" s="1"/>
  <c r="D21" i="51"/>
  <c r="G66" i="11"/>
  <c r="E31" i="51" s="1"/>
  <c r="D31" i="51"/>
  <c r="G68" i="11"/>
  <c r="E37" i="51" s="1"/>
  <c r="D37" i="51"/>
  <c r="G70" i="11"/>
  <c r="E48" i="51" s="1"/>
  <c r="D48" i="51"/>
  <c r="G72" i="11"/>
  <c r="E54" i="51" s="1"/>
  <c r="G43" i="11"/>
  <c r="E16" i="51" s="1"/>
  <c r="D16" i="51"/>
  <c r="G45" i="11"/>
  <c r="E20" i="51" s="1"/>
  <c r="D20" i="51"/>
  <c r="G47" i="11"/>
  <c r="E23" i="51" s="1"/>
  <c r="D23" i="51"/>
  <c r="G49" i="11"/>
  <c r="E25" i="51" s="1"/>
  <c r="D25" i="51"/>
  <c r="G51" i="11"/>
  <c r="E28" i="51" s="1"/>
  <c r="D28" i="51"/>
  <c r="G53" i="11"/>
  <c r="E38" i="51" s="1"/>
  <c r="D38" i="51"/>
  <c r="G55" i="11"/>
  <c r="E43" i="51" s="1"/>
  <c r="D43" i="51"/>
  <c r="G57" i="11"/>
  <c r="E45" i="51" s="1"/>
  <c r="D45" i="51"/>
  <c r="G59" i="11"/>
  <c r="E46" i="51" s="1"/>
  <c r="D46" i="51"/>
  <c r="G61" i="11"/>
  <c r="E57" i="51" s="1"/>
  <c r="D57" i="51"/>
  <c r="G63" i="11"/>
  <c r="E62" i="51" s="1"/>
  <c r="D62" i="51"/>
  <c r="G65" i="11"/>
  <c r="E29" i="51" s="1"/>
  <c r="D29" i="51"/>
  <c r="G67" i="11"/>
  <c r="E35" i="51" s="1"/>
  <c r="D35" i="51"/>
  <c r="G69" i="11"/>
  <c r="E47" i="51" s="1"/>
  <c r="D47" i="51"/>
  <c r="G71" i="11"/>
  <c r="E49" i="51" s="1"/>
  <c r="D49" i="51"/>
  <c r="G73" i="11"/>
  <c r="E60" i="51" s="1"/>
  <c r="D60" i="51"/>
  <c r="AH50" i="51"/>
  <c r="AG50" i="51"/>
  <c r="AH34" i="51"/>
  <c r="AG34" i="51"/>
  <c r="AH32" i="51"/>
  <c r="AG32" i="51"/>
  <c r="AH19" i="51"/>
  <c r="AG19" i="51"/>
  <c r="AG9" i="51"/>
  <c r="F75" i="22"/>
  <c r="G63" i="51" s="1"/>
  <c r="F63" i="51"/>
  <c r="F73" i="22"/>
  <c r="G61" i="51" s="1"/>
  <c r="F61" i="51"/>
  <c r="F71" i="22"/>
  <c r="G58" i="51" s="1"/>
  <c r="F58" i="51"/>
  <c r="F69" i="22"/>
  <c r="G56" i="51" s="1"/>
  <c r="F56" i="51"/>
  <c r="F67" i="22"/>
  <c r="G52" i="51" s="1"/>
  <c r="F52" i="51"/>
  <c r="F65" i="22"/>
  <c r="G51" i="51" s="1"/>
  <c r="F51" i="51"/>
  <c r="F63" i="22"/>
  <c r="G46" i="51" s="1"/>
  <c r="F46" i="51"/>
  <c r="F61" i="22"/>
  <c r="G44" i="51" s="1"/>
  <c r="F44" i="51"/>
  <c r="F59" i="22"/>
  <c r="G41" i="51" s="1"/>
  <c r="F41" i="51"/>
  <c r="F57" i="22"/>
  <c r="G36" i="51" s="1"/>
  <c r="F36" i="51"/>
  <c r="F55" i="22"/>
  <c r="G33" i="51" s="1"/>
  <c r="F33" i="51"/>
  <c r="F53" i="22"/>
  <c r="G30" i="51" s="1"/>
  <c r="F30" i="51"/>
  <c r="F51" i="22"/>
  <c r="G27" i="51" s="1"/>
  <c r="F27" i="51"/>
  <c r="F49" i="22"/>
  <c r="G25" i="51" s="1"/>
  <c r="F25" i="51"/>
  <c r="F47" i="22"/>
  <c r="G23" i="51" s="1"/>
  <c r="F23" i="51"/>
  <c r="F45" i="22"/>
  <c r="G20" i="51" s="1"/>
  <c r="F20" i="51"/>
  <c r="F43" i="22"/>
  <c r="G18" i="51" s="1"/>
  <c r="F18" i="51"/>
  <c r="F41" i="22"/>
  <c r="G16" i="51" s="1"/>
  <c r="F16" i="51"/>
  <c r="F38" i="22"/>
  <c r="G11" i="51" s="1"/>
  <c r="F11" i="51"/>
  <c r="M27" i="17"/>
  <c r="K8" i="17" s="1"/>
  <c r="K11" i="48" s="1"/>
  <c r="B5" i="49" s="1"/>
  <c r="L27" i="17"/>
  <c r="K13" i="17" s="1"/>
  <c r="W11" i="48" s="1"/>
  <c r="J10" i="32"/>
  <c r="G29" i="22"/>
  <c r="H29" i="22" s="1"/>
  <c r="G31" i="22" s="1"/>
  <c r="M9" i="22" s="1"/>
  <c r="M8" i="22" s="1"/>
  <c r="M10" i="48" s="1"/>
  <c r="G20" i="22"/>
  <c r="F75" i="11"/>
  <c r="F37" i="11" s="1"/>
  <c r="L14" i="11" s="1"/>
  <c r="X9" i="32" s="1"/>
  <c r="G13" i="11"/>
  <c r="S9" i="48" s="1"/>
  <c r="S20" i="48" s="1"/>
  <c r="H25" i="22"/>
  <c r="I9" i="22" s="1"/>
  <c r="I10" i="32" s="1"/>
  <c r="H28" i="22"/>
  <c r="K9" i="22" s="1"/>
  <c r="K8" i="22" s="1"/>
  <c r="K10" i="48" s="1"/>
  <c r="G8" i="11"/>
  <c r="G9" i="48" s="1"/>
  <c r="G20" i="48" s="1"/>
  <c r="E39" i="22"/>
  <c r="E37" i="22"/>
  <c r="E35" i="22"/>
  <c r="G35" i="42"/>
  <c r="G40" i="42" s="1"/>
  <c r="G45" i="42" s="1"/>
  <c r="K9" i="42" s="1"/>
  <c r="M45" i="42" s="1"/>
  <c r="R10" i="32"/>
  <c r="E29" i="37"/>
  <c r="M9" i="37" s="1"/>
  <c r="E27" i="17"/>
  <c r="Q10" i="32"/>
  <c r="K13" i="22"/>
  <c r="W10" i="48" s="1"/>
  <c r="W10" i="32"/>
  <c r="E10" i="32"/>
  <c r="L13" i="11"/>
  <c r="X9" i="48" s="1"/>
  <c r="G40" i="11"/>
  <c r="F36" i="11"/>
  <c r="M9" i="11" s="1"/>
  <c r="M9" i="32" s="1"/>
  <c r="S20" i="32"/>
  <c r="G22" i="11"/>
  <c r="F8" i="11" s="1"/>
  <c r="F9" i="48" s="1"/>
  <c r="F20" i="48" s="1"/>
  <c r="B4" i="50" s="1"/>
  <c r="F13" i="11"/>
  <c r="R9" i="48" s="1"/>
  <c r="R20" i="48" s="1"/>
  <c r="G27" i="11"/>
  <c r="F9" i="11" s="1"/>
  <c r="F9" i="32" s="1"/>
  <c r="F14" i="11"/>
  <c r="R9" i="32" s="1"/>
  <c r="G30" i="11"/>
  <c r="D13" i="11"/>
  <c r="P9" i="48" s="1"/>
  <c r="P20" i="48" s="1"/>
  <c r="D14" i="11"/>
  <c r="P9" i="32" s="1"/>
  <c r="F18" i="8"/>
  <c r="G21" i="11"/>
  <c r="E8" i="11" s="1"/>
  <c r="E9" i="48" s="1"/>
  <c r="E13" i="11"/>
  <c r="Q9" i="48" s="1"/>
  <c r="E14" i="11"/>
  <c r="Q9" i="32" s="1"/>
  <c r="G26" i="11"/>
  <c r="E9" i="11" s="1"/>
  <c r="E9" i="32" s="1"/>
  <c r="J13" i="11"/>
  <c r="V9" i="48" s="1"/>
  <c r="V20" i="48" s="1"/>
  <c r="J14" i="11"/>
  <c r="V9" i="32" s="1"/>
  <c r="G29" i="11"/>
  <c r="G31" i="11"/>
  <c r="K14" i="11"/>
  <c r="W9" i="32" s="1"/>
  <c r="K13" i="11"/>
  <c r="W9" i="48" s="1"/>
  <c r="G28" i="11"/>
  <c r="I14" i="11"/>
  <c r="I13" i="22"/>
  <c r="U10" i="48" s="1"/>
  <c r="U20" i="48" s="1"/>
  <c r="C14" i="22"/>
  <c r="F15" i="32"/>
  <c r="G20" i="32"/>
  <c r="G34" i="37"/>
  <c r="G36" i="37" s="1"/>
  <c r="F30" i="37" s="1"/>
  <c r="E36" i="37"/>
  <c r="D30" i="37" s="1"/>
  <c r="B9" i="32"/>
  <c r="B15" i="32"/>
  <c r="B12" i="32"/>
  <c r="B13" i="32"/>
  <c r="B10" i="32"/>
  <c r="AH45" i="51" l="1"/>
  <c r="E30" i="17"/>
  <c r="E40" i="17"/>
  <c r="E35" i="17"/>
  <c r="E32" i="17"/>
  <c r="E33" i="17"/>
  <c r="E31" i="17"/>
  <c r="K10" i="32"/>
  <c r="D8" i="22"/>
  <c r="D10" i="48" s="1"/>
  <c r="D10" i="32"/>
  <c r="C9" i="22"/>
  <c r="G75" i="11"/>
  <c r="G37" i="11" s="1"/>
  <c r="L8" i="11" s="1"/>
  <c r="L9" i="48" s="1"/>
  <c r="E13" i="51"/>
  <c r="AH60" i="51"/>
  <c r="AG60" i="51"/>
  <c r="AH49" i="51"/>
  <c r="AG49" i="51"/>
  <c r="AH35" i="51"/>
  <c r="AG35" i="51"/>
  <c r="AH29" i="51"/>
  <c r="AG29" i="51"/>
  <c r="AH54" i="51"/>
  <c r="AG54" i="51"/>
  <c r="AH48" i="51"/>
  <c r="AG48" i="51"/>
  <c r="AH37" i="51"/>
  <c r="AG37" i="51"/>
  <c r="AH31" i="51"/>
  <c r="AG31" i="51"/>
  <c r="AH21" i="51"/>
  <c r="AG21" i="51"/>
  <c r="D66" i="51"/>
  <c r="E20" i="32"/>
  <c r="C7" i="49"/>
  <c r="C7" i="47"/>
  <c r="F35" i="22"/>
  <c r="G8" i="51" s="1"/>
  <c r="F8" i="51"/>
  <c r="F39" i="22"/>
  <c r="G12" i="51" s="1"/>
  <c r="F12" i="51"/>
  <c r="H20" i="22"/>
  <c r="E8" i="22" s="1"/>
  <c r="E10" i="48" s="1"/>
  <c r="E20" i="48" s="1"/>
  <c r="B3" i="50" s="1"/>
  <c r="E13" i="22"/>
  <c r="Q10" i="48" s="1"/>
  <c r="Q20" i="48" s="1"/>
  <c r="B7" i="49"/>
  <c r="B7" i="47"/>
  <c r="F37" i="22"/>
  <c r="F10" i="51"/>
  <c r="AH11" i="51"/>
  <c r="AG11" i="51"/>
  <c r="AH18" i="51"/>
  <c r="AG18" i="51"/>
  <c r="AH30" i="51"/>
  <c r="AG30" i="51"/>
  <c r="AH33" i="51"/>
  <c r="AG33" i="51"/>
  <c r="AH51" i="51"/>
  <c r="AG51" i="51"/>
  <c r="AH52" i="51"/>
  <c r="AG52" i="51"/>
  <c r="AH58" i="51"/>
  <c r="AG58" i="51"/>
  <c r="AH61" i="51"/>
  <c r="AG61" i="51"/>
  <c r="AH63" i="51"/>
  <c r="AG63" i="51"/>
  <c r="L8" i="17"/>
  <c r="L11" i="48" s="1"/>
  <c r="L13" i="17"/>
  <c r="X11" i="48" s="1"/>
  <c r="G27" i="17"/>
  <c r="K9" i="17" s="1"/>
  <c r="B5" i="47"/>
  <c r="M8" i="17"/>
  <c r="M11" i="48" s="1"/>
  <c r="I8" i="22"/>
  <c r="I10" i="48" s="1"/>
  <c r="E78" i="22"/>
  <c r="G32" i="22" s="1"/>
  <c r="L14" i="22" s="1"/>
  <c r="L13" i="22" s="1"/>
  <c r="X10" i="48" s="1"/>
  <c r="M8" i="11"/>
  <c r="M9" i="48" s="1"/>
  <c r="J17" i="8"/>
  <c r="K9" i="8" s="1"/>
  <c r="K8" i="8" s="1"/>
  <c r="K12" i="48" s="1"/>
  <c r="I17" i="8"/>
  <c r="I24" i="8" s="1"/>
  <c r="F27" i="17"/>
  <c r="K14" i="17" s="1"/>
  <c r="M15" i="32"/>
  <c r="K14" i="42"/>
  <c r="L45" i="42" s="1"/>
  <c r="L52" i="42" s="1"/>
  <c r="K13" i="42"/>
  <c r="K8" i="42"/>
  <c r="M10" i="32"/>
  <c r="L9" i="11"/>
  <c r="L9" i="32" s="1"/>
  <c r="Q20" i="32"/>
  <c r="C13" i="22"/>
  <c r="O10" i="48" s="1"/>
  <c r="O10" i="32"/>
  <c r="I9" i="11"/>
  <c r="I8" i="11"/>
  <c r="I9" i="48" s="1"/>
  <c r="J9" i="11"/>
  <c r="J9" i="32" s="1"/>
  <c r="J8" i="11"/>
  <c r="J9" i="48" s="1"/>
  <c r="J20" i="48" s="1"/>
  <c r="C10" i="32"/>
  <c r="C8" i="22"/>
  <c r="C10" i="48" s="1"/>
  <c r="P20" i="32"/>
  <c r="U9" i="32"/>
  <c r="C14" i="11"/>
  <c r="O9" i="32" s="1"/>
  <c r="C13" i="11"/>
  <c r="O9" i="48" s="1"/>
  <c r="R20" i="32"/>
  <c r="K9" i="11"/>
  <c r="K9" i="32" s="1"/>
  <c r="K8" i="11"/>
  <c r="K9" i="48" s="1"/>
  <c r="D8" i="11"/>
  <c r="D9" i="48" s="1"/>
  <c r="D20" i="48" s="1"/>
  <c r="D9" i="11"/>
  <c r="D9" i="32" s="1"/>
  <c r="D20" i="32" s="1"/>
  <c r="C7" i="50" l="1"/>
  <c r="C3" i="50"/>
  <c r="J24" i="8"/>
  <c r="K12" i="51" s="1"/>
  <c r="J12" i="51"/>
  <c r="K13" i="48"/>
  <c r="B3" i="47" s="1"/>
  <c r="M52" i="42"/>
  <c r="M12" i="51" s="1"/>
  <c r="L12" i="51"/>
  <c r="G33" i="17"/>
  <c r="I64" i="51" s="1"/>
  <c r="F33" i="17"/>
  <c r="H64" i="51" s="1"/>
  <c r="G35" i="17"/>
  <c r="I53" i="51" s="1"/>
  <c r="F35" i="17"/>
  <c r="H53" i="51" s="1"/>
  <c r="G30" i="17"/>
  <c r="F30" i="17"/>
  <c r="G31" i="17"/>
  <c r="I62" i="51" s="1"/>
  <c r="F31" i="17"/>
  <c r="H62" i="51" s="1"/>
  <c r="G32" i="17"/>
  <c r="I40" i="51" s="1"/>
  <c r="F32" i="17"/>
  <c r="H40" i="51" s="1"/>
  <c r="G40" i="17"/>
  <c r="G37" i="17" s="1"/>
  <c r="M9" i="17" s="1"/>
  <c r="M11" i="32" s="1"/>
  <c r="F40" i="17"/>
  <c r="F37" i="17" s="1"/>
  <c r="E37" i="17"/>
  <c r="L48" i="42"/>
  <c r="L57" i="42"/>
  <c r="L51" i="42"/>
  <c r="L49" i="42"/>
  <c r="L58" i="42"/>
  <c r="M58" i="42" s="1"/>
  <c r="L53" i="42"/>
  <c r="L50" i="42"/>
  <c r="I29" i="8"/>
  <c r="I23" i="8"/>
  <c r="J64" i="51" s="1"/>
  <c r="I21" i="8"/>
  <c r="J62" i="51" s="1"/>
  <c r="I30" i="8"/>
  <c r="I25" i="8"/>
  <c r="J53" i="51" s="1"/>
  <c r="I22" i="8"/>
  <c r="J40" i="51" s="1"/>
  <c r="I20" i="8"/>
  <c r="J23" i="51" s="1"/>
  <c r="AG45" i="51"/>
  <c r="K14" i="8"/>
  <c r="K13" i="8" s="1"/>
  <c r="E28" i="17"/>
  <c r="O20" i="48"/>
  <c r="I20" i="48"/>
  <c r="E66" i="51"/>
  <c r="X10" i="32"/>
  <c r="AG10" i="51"/>
  <c r="AH10" i="51"/>
  <c r="F66" i="51"/>
  <c r="F78" i="22"/>
  <c r="H32" i="22" s="1"/>
  <c r="L9" i="22" s="1"/>
  <c r="G10" i="51"/>
  <c r="W13" i="48"/>
  <c r="B3" i="49"/>
  <c r="B8" i="49"/>
  <c r="B8" i="47"/>
  <c r="C8" i="49"/>
  <c r="C8" i="47"/>
  <c r="W11" i="32"/>
  <c r="W13" i="32"/>
  <c r="F20" i="32"/>
  <c r="I9" i="32"/>
  <c r="C9" i="11"/>
  <c r="C9" i="32" s="1"/>
  <c r="C8" i="11"/>
  <c r="C9" i="48" s="1"/>
  <c r="C20" i="48" s="1"/>
  <c r="U20" i="32"/>
  <c r="C4" i="50" l="1"/>
  <c r="K20" i="48"/>
  <c r="B2" i="50" s="1"/>
  <c r="I23" i="51"/>
  <c r="I66" i="51" s="1"/>
  <c r="G28" i="17"/>
  <c r="L9" i="17" s="1"/>
  <c r="L11" i="32" s="1"/>
  <c r="H23" i="51"/>
  <c r="H66" i="51" s="1"/>
  <c r="F28" i="17"/>
  <c r="L14" i="17" s="1"/>
  <c r="X11" i="32" s="1"/>
  <c r="L53" i="51"/>
  <c r="M53" i="42"/>
  <c r="M53" i="51" s="1"/>
  <c r="L62" i="51"/>
  <c r="AG62" i="51" s="1"/>
  <c r="M49" i="42"/>
  <c r="M62" i="51" s="1"/>
  <c r="M57" i="42"/>
  <c r="M55" i="42" s="1"/>
  <c r="M9" i="42" s="1"/>
  <c r="L55" i="42"/>
  <c r="L40" i="51"/>
  <c r="M50" i="42"/>
  <c r="M40" i="51" s="1"/>
  <c r="L64" i="51"/>
  <c r="M51" i="42"/>
  <c r="M64" i="51" s="1"/>
  <c r="M48" i="42"/>
  <c r="L23" i="51"/>
  <c r="L46" i="42"/>
  <c r="L14" i="42" s="1"/>
  <c r="J66" i="51"/>
  <c r="J23" i="8"/>
  <c r="K64" i="51" s="1"/>
  <c r="J21" i="8"/>
  <c r="K62" i="51" s="1"/>
  <c r="J25" i="8"/>
  <c r="K53" i="51" s="1"/>
  <c r="J20" i="8"/>
  <c r="K23" i="51" s="1"/>
  <c r="J30" i="8"/>
  <c r="J22" i="8"/>
  <c r="K40" i="51" s="1"/>
  <c r="W12" i="48"/>
  <c r="W20" i="48" s="1"/>
  <c r="W12" i="32"/>
  <c r="W20" i="32" s="1"/>
  <c r="K20" i="32"/>
  <c r="B11" i="49"/>
  <c r="G66" i="51"/>
  <c r="L10" i="32"/>
  <c r="L8" i="22"/>
  <c r="L10" i="48" s="1"/>
  <c r="AH8" i="51"/>
  <c r="AG8" i="51"/>
  <c r="C3" i="47"/>
  <c r="C3" i="49"/>
  <c r="B11" i="47"/>
  <c r="C5" i="49"/>
  <c r="C5" i="47"/>
  <c r="V20" i="32"/>
  <c r="C2" i="50" l="1"/>
  <c r="AH62" i="51"/>
  <c r="AH23" i="51"/>
  <c r="AG64" i="51"/>
  <c r="AH64" i="51"/>
  <c r="AH40" i="51"/>
  <c r="AG40" i="51"/>
  <c r="AG53" i="51"/>
  <c r="AH53" i="51"/>
  <c r="L66" i="51"/>
  <c r="M8" i="42"/>
  <c r="M13" i="48" s="1"/>
  <c r="M13" i="32"/>
  <c r="L13" i="42"/>
  <c r="X13" i="48" s="1"/>
  <c r="X13" i="32"/>
  <c r="M23" i="51"/>
  <c r="M66" i="51" s="1"/>
  <c r="M46" i="42"/>
  <c r="L9" i="42" s="1"/>
  <c r="K66" i="51"/>
  <c r="AG23" i="51"/>
  <c r="J18" i="8"/>
  <c r="L9" i="8" s="1"/>
  <c r="J29" i="8"/>
  <c r="J27" i="8" s="1"/>
  <c r="I27" i="8"/>
  <c r="C11" i="49"/>
  <c r="E11" i="49" s="1"/>
  <c r="C11" i="47"/>
  <c r="E11" i="47" s="1"/>
  <c r="J20" i="32"/>
  <c r="I20" i="32"/>
  <c r="O20" i="32"/>
  <c r="T20" i="32"/>
  <c r="X66" i="51" l="1"/>
  <c r="Y66" i="51"/>
  <c r="L8" i="42"/>
  <c r="L13" i="48" s="1"/>
  <c r="L13" i="32"/>
  <c r="L8" i="8"/>
  <c r="L12" i="48" s="1"/>
  <c r="L12" i="32"/>
  <c r="L20" i="32" s="1"/>
  <c r="M9" i="8"/>
  <c r="H20" i="32"/>
  <c r="C20" i="32"/>
  <c r="C5" i="50" l="1"/>
  <c r="C6" i="50"/>
  <c r="L20" i="48"/>
  <c r="B5" i="50" s="1"/>
  <c r="M12" i="32"/>
  <c r="M20" i="32" s="1"/>
  <c r="M8" i="8"/>
  <c r="M12" i="48" s="1"/>
  <c r="M20" i="48" s="1"/>
  <c r="I18" i="8"/>
  <c r="L14" i="8" s="1"/>
  <c r="L13" i="8" l="1"/>
  <c r="X12" i="48" s="1"/>
  <c r="X20" i="48" s="1"/>
  <c r="X12" i="32"/>
  <c r="X20" i="32" s="1"/>
</calcChain>
</file>

<file path=xl/sharedStrings.xml><?xml version="1.0" encoding="utf-8"?>
<sst xmlns="http://schemas.openxmlformats.org/spreadsheetml/2006/main" count="1301" uniqueCount="299">
  <si>
    <t>Company:</t>
  </si>
  <si>
    <t>Site:</t>
  </si>
  <si>
    <t>Date:</t>
  </si>
  <si>
    <t>CO</t>
  </si>
  <si>
    <t>VOC</t>
  </si>
  <si>
    <t>Uncontrolled</t>
  </si>
  <si>
    <r>
      <t>PM</t>
    </r>
    <r>
      <rPr>
        <vertAlign val="subscript"/>
        <sz val="10"/>
        <rFont val="Arial"/>
        <family val="2"/>
      </rPr>
      <t>10</t>
    </r>
  </si>
  <si>
    <r>
      <t>PM</t>
    </r>
    <r>
      <rPr>
        <vertAlign val="subscript"/>
        <sz val="10"/>
        <rFont val="Arial"/>
        <family val="2"/>
      </rPr>
      <t>2.5</t>
    </r>
  </si>
  <si>
    <t>hours/year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</si>
  <si>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</si>
  <si>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X</t>
    </r>
  </si>
  <si>
    <t>Lead</t>
  </si>
  <si>
    <t>HAP's</t>
  </si>
  <si>
    <t>tons/year</t>
  </si>
  <si>
    <t>tons/yr</t>
  </si>
  <si>
    <t>lb/hr</t>
  </si>
  <si>
    <t>P =</t>
  </si>
  <si>
    <t>lb/MMBTU</t>
  </si>
  <si>
    <t>lbs/hr</t>
  </si>
  <si>
    <t>lbs/year</t>
  </si>
  <si>
    <t>lb/10^6 scf</t>
  </si>
  <si>
    <t>HAPs</t>
  </si>
  <si>
    <t>Standing Storage Loss</t>
  </si>
  <si>
    <r>
      <t>L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</si>
  <si>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t>Total Losses</t>
  </si>
  <si>
    <r>
      <t>L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 L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+L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</t>
    </r>
  </si>
  <si>
    <r>
      <t>L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</t>
    </r>
  </si>
  <si>
    <r>
      <t>L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 </t>
    </r>
  </si>
  <si>
    <t>Working Losses</t>
  </si>
  <si>
    <t>lbs/hour</t>
  </si>
  <si>
    <t>Total VOC Losses</t>
  </si>
  <si>
    <t>psia</t>
  </si>
  <si>
    <t>°F</t>
  </si>
  <si>
    <t>Arsenic</t>
  </si>
  <si>
    <t>Beryllium</t>
  </si>
  <si>
    <t>Cadmium</t>
  </si>
  <si>
    <t>Chromium</t>
  </si>
  <si>
    <t>Manganese</t>
  </si>
  <si>
    <t>Nickel</t>
  </si>
  <si>
    <t>Selenium</t>
  </si>
  <si>
    <t>ABC Company</t>
  </si>
  <si>
    <t>M =</t>
  </si>
  <si>
    <t>S =</t>
  </si>
  <si>
    <t>2-Methylnaphthalene</t>
  </si>
  <si>
    <t>3-Methylchloranthrene</t>
  </si>
  <si>
    <t>7,12-Dimethylbenz(a)anthracene</t>
  </si>
  <si>
    <t>Acenaphthene</t>
  </si>
  <si>
    <t>Acenaphthylene</t>
  </si>
  <si>
    <t>Anthracene</t>
  </si>
  <si>
    <t>Benz(a)anthracene</t>
  </si>
  <si>
    <t>Benzene</t>
  </si>
  <si>
    <t>Benzo(a)pyrene</t>
  </si>
  <si>
    <t>Benzo(b)fluoranthene</t>
  </si>
  <si>
    <t>Benzo(g,h,i)perylene</t>
  </si>
  <si>
    <t>Benzo(k)fluoranthene</t>
  </si>
  <si>
    <t>Toluene</t>
  </si>
  <si>
    <t>Pyrene</t>
  </si>
  <si>
    <t>Phenanathrene</t>
  </si>
  <si>
    <t>Naphthalene</t>
  </si>
  <si>
    <t>Indeno(1,2,3-cd)pyrene</t>
  </si>
  <si>
    <t>Hexane</t>
  </si>
  <si>
    <t>Formaldehyde</t>
  </si>
  <si>
    <t>Fluorene</t>
  </si>
  <si>
    <t>Fluoranthene</t>
  </si>
  <si>
    <t>Dichlorobenzene</t>
  </si>
  <si>
    <t>Dibenzo(a,h)anthracene</t>
  </si>
  <si>
    <t>Chrysene</t>
  </si>
  <si>
    <t>Cobalt</t>
  </si>
  <si>
    <t>Mercury</t>
  </si>
  <si>
    <t>AP-42 Table 1.4-1</t>
  </si>
  <si>
    <t>AP-42 Table 1.4-2</t>
  </si>
  <si>
    <t>AP-42 Table 1.4-3</t>
  </si>
  <si>
    <t>lb/MMBtu</t>
  </si>
  <si>
    <t>hp</t>
  </si>
  <si>
    <t>1,3-Butadiene</t>
  </si>
  <si>
    <t>Acetaldehyde</t>
  </si>
  <si>
    <t>Acrolein</t>
  </si>
  <si>
    <t>Fugitive</t>
  </si>
  <si>
    <t>Non-fugitive</t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</si>
  <si>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</t>
    </r>
  </si>
  <si>
    <t>Annual Usage (barrels) =</t>
  </si>
  <si>
    <t>Annual Usage (gallons) =</t>
  </si>
  <si>
    <t>Loading Loss (lbs/1,000 gallons)</t>
  </si>
  <si>
    <t>AP-42 5.2 equation 1</t>
  </si>
  <si>
    <t>Saturation Factor</t>
  </si>
  <si>
    <t>True Vapor Pressure (psia)</t>
  </si>
  <si>
    <t>Molecular Weight of Vapor</t>
  </si>
  <si>
    <t>T =</t>
  </si>
  <si>
    <t>lbs/1,000 gallons</t>
  </si>
  <si>
    <t>E. F.</t>
  </si>
  <si>
    <r>
      <t>L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 12.46(SPM)/T</t>
    </r>
  </si>
  <si>
    <r>
      <t>Liquid Temperature (</t>
    </r>
    <r>
      <rPr>
        <sz val="10"/>
        <rFont val="Arial"/>
        <family val="2"/>
      </rPr>
      <t>°</t>
    </r>
    <r>
      <rPr>
        <sz val="10"/>
        <rFont val="Arial"/>
        <family val="2"/>
      </rPr>
      <t>R)</t>
    </r>
  </si>
  <si>
    <r>
      <t>L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</t>
    </r>
  </si>
  <si>
    <t>1,1,2,2-Tetrachloroethane</t>
  </si>
  <si>
    <t>1,1,2-Trichloroethane</t>
  </si>
  <si>
    <t>1,3-Dichloropropene</t>
  </si>
  <si>
    <t>2,2,4-Trimethylpentane</t>
  </si>
  <si>
    <t>Benzo(e)pyrene</t>
  </si>
  <si>
    <t>benzo(g,h,i)perylene</t>
  </si>
  <si>
    <t>Biphenyl</t>
  </si>
  <si>
    <t>Carbon Tetrachloride</t>
  </si>
  <si>
    <t>Chlorobenzene</t>
  </si>
  <si>
    <t>Chloroform</t>
  </si>
  <si>
    <t>Ethylbenzene</t>
  </si>
  <si>
    <t>Ethylene Dibromide</t>
  </si>
  <si>
    <t>Indeno(1,2,3-c,d)pyrene</t>
  </si>
  <si>
    <t>Methanol</t>
  </si>
  <si>
    <t>Methylene Chloride</t>
  </si>
  <si>
    <t>n-Hexane</t>
  </si>
  <si>
    <t>PAH</t>
  </si>
  <si>
    <t>Perylene</t>
  </si>
  <si>
    <t>Phenanthrene</t>
  </si>
  <si>
    <t>Phenol</t>
  </si>
  <si>
    <t>Styrene</t>
  </si>
  <si>
    <t>Vinyl Chloride</t>
  </si>
  <si>
    <t>Xylene</t>
  </si>
  <si>
    <t>2-Stroke Lean-Burn Engine</t>
  </si>
  <si>
    <t>AP-42</t>
  </si>
  <si>
    <t>Section Name</t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</si>
  <si>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- F</t>
    </r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</si>
  <si>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- NF</t>
    </r>
  </si>
  <si>
    <t>PTE/Controlled</t>
  </si>
  <si>
    <t>Total PTE/Controlled Emissions</t>
  </si>
  <si>
    <t>BTU/hp-hr</t>
  </si>
  <si>
    <t>AP-42 Table 3.2-1</t>
  </si>
  <si>
    <t>MMBTU/hour</t>
  </si>
  <si>
    <r>
      <t>CO</t>
    </r>
    <r>
      <rPr>
        <vertAlign val="subscript"/>
        <sz val="10"/>
        <color indexed="17"/>
        <rFont val="Arial"/>
        <family val="2"/>
      </rPr>
      <t>2</t>
    </r>
  </si>
  <si>
    <r>
      <t>CH</t>
    </r>
    <r>
      <rPr>
        <vertAlign val="subscript"/>
        <sz val="10"/>
        <color indexed="17"/>
        <rFont val="Arial"/>
        <family val="2"/>
      </rPr>
      <t>4</t>
    </r>
  </si>
  <si>
    <r>
      <t>N</t>
    </r>
    <r>
      <rPr>
        <vertAlign val="subscript"/>
        <sz val="10"/>
        <color indexed="17"/>
        <rFont val="Arial"/>
        <family val="2"/>
      </rPr>
      <t>2</t>
    </r>
    <r>
      <rPr>
        <sz val="10"/>
        <color indexed="17"/>
        <rFont val="Arial"/>
        <family val="2"/>
      </rPr>
      <t>O</t>
    </r>
  </si>
  <si>
    <r>
      <t>CO</t>
    </r>
    <r>
      <rPr>
        <vertAlign val="subscript"/>
        <sz val="10"/>
        <color indexed="17"/>
        <rFont val="Arial"/>
        <family val="2"/>
      </rPr>
      <t>2</t>
    </r>
    <r>
      <rPr>
        <sz val="10"/>
        <color indexed="17"/>
        <rFont val="Arial"/>
        <family val="2"/>
      </rPr>
      <t xml:space="preserve"> eq.</t>
    </r>
  </si>
  <si>
    <t>MMBTU/hr</t>
  </si>
  <si>
    <t>Natural Gas Water Heater</t>
  </si>
  <si>
    <t>AP-42 Table 13.2-5</t>
  </si>
  <si>
    <t>Industrial Flares</t>
  </si>
  <si>
    <t>g/hp-hr</t>
  </si>
  <si>
    <t>(For Estimating VOC Flashing Emissions, Using Stock Tank Gas-Oil Ratios)</t>
  </si>
  <si>
    <t>INPUTS:</t>
  </si>
  <si>
    <t>DEFAULTS</t>
  </si>
  <si>
    <t>Stock Tank API Gravity</t>
  </si>
  <si>
    <t>API</t>
  </si>
  <si>
    <t>N/A</t>
  </si>
  <si>
    <t>Ti</t>
  </si>
  <si>
    <t>Separator Gas Gravity at Initail Condition</t>
  </si>
  <si>
    <t>SGi</t>
  </si>
  <si>
    <t>Q</t>
  </si>
  <si>
    <t>Stock Tank Gas Molecular Weight</t>
  </si>
  <si>
    <t>MW</t>
  </si>
  <si>
    <t>Fraction VOC (C3+) of Stock Tank Gas</t>
  </si>
  <si>
    <t>Patm</t>
  </si>
  <si>
    <t>Rs</t>
  </si>
  <si>
    <t>SGx</t>
  </si>
  <si>
    <t>Dissolved gas gravity at 100 psig</t>
  </si>
  <si>
    <t>Pi</t>
  </si>
  <si>
    <t>&lt; 30</t>
  </si>
  <si>
    <t>&gt;= 30</t>
  </si>
  <si>
    <t>C1</t>
  </si>
  <si>
    <t>C2</t>
  </si>
  <si>
    <t>C3</t>
  </si>
  <si>
    <t>scf/bbl</t>
  </si>
  <si>
    <t>THC</t>
  </si>
  <si>
    <t>from "FLASHING"  of oil from separator to tank press</t>
  </si>
  <si>
    <t>V-B</t>
  </si>
  <si>
    <t>psig</t>
  </si>
  <si>
    <t>bbl/day</t>
  </si>
  <si>
    <t>lb/lb-mol</t>
  </si>
  <si>
    <t>Atmospheric Pressure</t>
  </si>
  <si>
    <t>Separator Pressure</t>
  </si>
  <si>
    <t>Separator Temperature</t>
  </si>
  <si>
    <t>Stock Tank Barrels of Oil per day</t>
  </si>
  <si>
    <t>Gas/Oil Ratio at pressure of interest</t>
  </si>
  <si>
    <t>API Gravity</t>
  </si>
  <si>
    <t>Given</t>
  </si>
  <si>
    <t>Total Hydrocarbons</t>
  </si>
  <si>
    <t xml:space="preserve">Vol. of 1 lb-mole of gas @ 14.7 psia &amp; 68 F </t>
  </si>
  <si>
    <r>
      <t>scf</t>
    </r>
    <r>
      <rPr>
        <sz val="10"/>
        <rFont val="Arial"/>
        <family val="2"/>
      </rPr>
      <t>/lb-mole (WAQS&amp;R Std Cond)</t>
    </r>
  </si>
  <si>
    <t>% VOC</t>
  </si>
  <si>
    <t>Control Device Efficiency</t>
  </si>
  <si>
    <t>Fraction of C3+ in the Stock Tank Vapor</t>
  </si>
  <si>
    <t>g/kw-hr</t>
  </si>
  <si>
    <t>NSPS Subpart JJJJ (40 CFR 1048.101(c))</t>
  </si>
  <si>
    <t>Control Efficiency</t>
  </si>
  <si>
    <t>Heaters/Boilers</t>
  </si>
  <si>
    <t>Pumpjack Engine</t>
  </si>
  <si>
    <t>Truck Loading</t>
  </si>
  <si>
    <t>Tank Flashing Emissions</t>
  </si>
  <si>
    <t>Tank Working &amp; Breathing Losses</t>
  </si>
  <si>
    <t>Flares</t>
  </si>
  <si>
    <t>Fugitive Emissions</t>
  </si>
  <si>
    <t>HAP</t>
  </si>
  <si>
    <t>Fug</t>
  </si>
  <si>
    <t>CO2e</t>
  </si>
  <si>
    <t>7.1a</t>
  </si>
  <si>
    <t>Glycol &amp; Methanol Tanks</t>
  </si>
  <si>
    <t>State of Utah</t>
  </si>
  <si>
    <t>Throughput</t>
  </si>
  <si>
    <t>bb/year</t>
  </si>
  <si>
    <t>VOC Control Device</t>
  </si>
  <si>
    <t>Pump Jack Engine</t>
  </si>
  <si>
    <t>Storage Tanks</t>
  </si>
  <si>
    <t>Controlled</t>
  </si>
  <si>
    <t>Total</t>
  </si>
  <si>
    <t>NOx</t>
  </si>
  <si>
    <t>&lt;20 m</t>
  </si>
  <si>
    <t>20-50 m</t>
  </si>
  <si>
    <t xml:space="preserve">50-100 m </t>
  </si>
  <si>
    <t>&gt;100 m</t>
  </si>
  <si>
    <t>&lt;50 m</t>
  </si>
  <si>
    <t xml:space="preserve">        Vertically Restricted/Fugitive Releases</t>
  </si>
  <si>
    <t xml:space="preserve">     Vertically Unrestricted Releases</t>
  </si>
  <si>
    <t xml:space="preserve">Ethylene glycol </t>
  </si>
  <si>
    <t>Modeling</t>
  </si>
  <si>
    <t>Vert. Un.</t>
  </si>
  <si>
    <t>Vert. Rest.</t>
  </si>
  <si>
    <t>Dehydrators</t>
  </si>
  <si>
    <t>Dehy</t>
  </si>
  <si>
    <t>Dehy Size</t>
  </si>
  <si>
    <t>lb/hp-hr</t>
  </si>
  <si>
    <t>EthylBenzene</t>
  </si>
  <si>
    <t>Methane</t>
  </si>
  <si>
    <t>CO2</t>
  </si>
  <si>
    <t>Weight Fraction</t>
  </si>
  <si>
    <t>Ratio to VOC</t>
  </si>
  <si>
    <t>EP Energy</t>
  </si>
  <si>
    <t>Kinder Morgan</t>
  </si>
  <si>
    <t>Scaled</t>
  </si>
  <si>
    <t>MMSCF/day</t>
  </si>
  <si>
    <t>2,2,4 TMP</t>
  </si>
  <si>
    <t>Control</t>
  </si>
  <si>
    <t>Permit Limits</t>
  </si>
  <si>
    <t>Tank W &amp; B</t>
  </si>
  <si>
    <t>Flashing</t>
  </si>
  <si>
    <t>Fugitives</t>
  </si>
  <si>
    <t>Glycol</t>
  </si>
  <si>
    <t>Sprousel Bowden 2-18B1</t>
  </si>
  <si>
    <t>Case 2-31-B4</t>
  </si>
  <si>
    <t>Knight 14-30</t>
  </si>
  <si>
    <t>Meek 3-32 A4</t>
  </si>
  <si>
    <t>Rust 1-36 A4</t>
  </si>
  <si>
    <t>2,2,4 Trimethylpentane</t>
  </si>
  <si>
    <t>Crescent Point Energy</t>
  </si>
  <si>
    <t>Coleman Tribal 2-18-4-2E</t>
  </si>
  <si>
    <t>Kinder Morgan - Ravolla CS</t>
  </si>
  <si>
    <t>Berry Petroleum - Section 34 CS</t>
  </si>
  <si>
    <t>tpy</t>
  </si>
  <si>
    <t>Berry Petroleum - Section 7 CS</t>
  </si>
  <si>
    <t>Bill Barrett - Peters Point CS</t>
  </si>
  <si>
    <t>Kinder Morgan - Rabbit Gulch CS</t>
  </si>
  <si>
    <t>Kinder Morgan - Altamont East CS</t>
  </si>
  <si>
    <t>Kinder Morgan - Altamont West CS</t>
  </si>
  <si>
    <t>Newfield - Monument Butte CS</t>
  </si>
  <si>
    <t>Newfield - Ranch CS</t>
  </si>
  <si>
    <t>Crescent Point - Randlett CS</t>
  </si>
  <si>
    <t>Max Value</t>
  </si>
  <si>
    <t>MMscf/day</t>
  </si>
  <si>
    <t>Number of Pneumatics</t>
  </si>
  <si>
    <t>Uncontrolled (High Bleed)</t>
  </si>
  <si>
    <t>Controlled (Low Bleed)</t>
  </si>
  <si>
    <t>Flow Rate (scf/hr)</t>
  </si>
  <si>
    <t>(scf/hr)/(tons VOC/year)</t>
  </si>
  <si>
    <t>Pneumatic Devices</t>
  </si>
  <si>
    <t>Pneu</t>
  </si>
  <si>
    <t>Pneumatics</t>
  </si>
  <si>
    <t>January 2014</t>
  </si>
  <si>
    <t>Valves</t>
  </si>
  <si>
    <t>Pump Seals</t>
  </si>
  <si>
    <t>Other</t>
  </si>
  <si>
    <t>Connectors</t>
  </si>
  <si>
    <t>Flanges</t>
  </si>
  <si>
    <t>Open-ended Lines</t>
  </si>
  <si>
    <t>Gas</t>
  </si>
  <si>
    <t>Heavy Oil</t>
  </si>
  <si>
    <t>Light Oil</t>
  </si>
  <si>
    <t>Water/Oil</t>
  </si>
  <si>
    <t>&lt; 10,000 ppm (kg/hr/source)</t>
  </si>
  <si>
    <t>(Uncontrolled Emission Factors)</t>
  </si>
  <si>
    <t>(Controlled Emission Factors)</t>
  </si>
  <si>
    <t>Number</t>
  </si>
  <si>
    <t>Uncontrolled Emissions (lb/hr)</t>
  </si>
  <si>
    <t>Controlled Emissions (lb/hr)</t>
  </si>
  <si>
    <t>Max Rate</t>
  </si>
  <si>
    <t>Uncontolled</t>
  </si>
  <si>
    <t>Average VOC Content</t>
  </si>
  <si>
    <t>VOC Content</t>
  </si>
  <si>
    <t>Table 2-4 &amp; 2-8 of the 1995 EPA Protocol for Equipment Leak Emission Estimates</t>
  </si>
  <si>
    <t>Average (kg/hr/source)</t>
  </si>
  <si>
    <t>Length</t>
  </si>
  <si>
    <t>Diameter</t>
  </si>
  <si>
    <t>Volume</t>
  </si>
  <si>
    <t>ft^3</t>
  </si>
  <si>
    <t>gallons</t>
  </si>
  <si>
    <t>lb/year</t>
  </si>
  <si>
    <t>Ethylene Glycol</t>
  </si>
  <si>
    <t>SO2</t>
  </si>
  <si>
    <t>PM10</t>
  </si>
  <si>
    <t>Uncontrolled Emissions</t>
  </si>
  <si>
    <t>General AO Uncontrolled Emission Rates</t>
  </si>
  <si>
    <t>General AO Controlled Emission Rates</t>
  </si>
  <si>
    <t>VOC Emission Sources</t>
  </si>
  <si>
    <t>Emissions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</si>
</sst>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000"/>
    <numFmt numFmtId="166" formatCode="0.000"/>
    <numFmt numFmtId="167" formatCode="0.0"/>
    <numFmt numFmtId="168" formatCode="#,##0.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vertAlign val="subscript"/>
      <sz val="10"/>
      <color indexed="1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5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6" fillId="0" borderId="0" xfId="0" applyFont="1"/>
    <xf numFmtId="0" fontId="0" fillId="2" borderId="0" xfId="0" applyFill="1"/>
    <xf numFmtId="3" fontId="0" fillId="2" borderId="0" xfId="0" applyNumberFormat="1" applyFill="1" applyBorder="1"/>
    <xf numFmtId="0" fontId="0" fillId="3" borderId="0" xfId="0" applyFill="1"/>
    <xf numFmtId="0" fontId="0" fillId="3" borderId="5" xfId="0" applyFill="1" applyBorder="1"/>
    <xf numFmtId="0" fontId="6" fillId="0" borderId="7" xfId="0" applyFont="1" applyBorder="1"/>
    <xf numFmtId="0" fontId="0" fillId="0" borderId="7" xfId="0" applyBorder="1"/>
    <xf numFmtId="0" fontId="0" fillId="0" borderId="8" xfId="0" applyBorder="1"/>
    <xf numFmtId="0" fontId="0" fillId="3" borderId="0" xfId="0" applyFill="1" applyBorder="1"/>
    <xf numFmtId="0" fontId="0" fillId="0" borderId="0" xfId="0" applyAlignment="1">
      <alignment horizontal="right"/>
    </xf>
    <xf numFmtId="0" fontId="7" fillId="0" borderId="0" xfId="0" applyFont="1"/>
    <xf numFmtId="3" fontId="0" fillId="2" borderId="0" xfId="0" applyNumberFormat="1" applyFill="1"/>
    <xf numFmtId="0" fontId="7" fillId="0" borderId="0" xfId="0" applyFont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4" borderId="5" xfId="0" applyFill="1" applyBorder="1"/>
    <xf numFmtId="0" fontId="0" fillId="0" borderId="6" xfId="0" applyBorder="1"/>
    <xf numFmtId="0" fontId="0" fillId="0" borderId="0" xfId="0" applyNumberFormat="1" applyFill="1" applyBorder="1"/>
    <xf numFmtId="0" fontId="0" fillId="0" borderId="11" xfId="0" applyBorder="1"/>
    <xf numFmtId="0" fontId="0" fillId="0" borderId="13" xfId="0" applyBorder="1" applyAlignment="1">
      <alignment horizontal="right"/>
    </xf>
    <xf numFmtId="2" fontId="0" fillId="0" borderId="4" xfId="0" applyNumberFormat="1" applyBorder="1"/>
    <xf numFmtId="0" fontId="0" fillId="0" borderId="14" xfId="0" applyBorder="1" applyAlignment="1">
      <alignment horizontal="right"/>
    </xf>
    <xf numFmtId="0" fontId="0" fillId="3" borderId="1" xfId="0" applyFill="1" applyBorder="1"/>
    <xf numFmtId="0" fontId="0" fillId="0" borderId="1" xfId="0" applyFill="1" applyBorder="1"/>
    <xf numFmtId="0" fontId="0" fillId="5" borderId="5" xfId="0" applyFill="1" applyBorder="1"/>
    <xf numFmtId="0" fontId="10" fillId="0" borderId="0" xfId="0" applyFont="1" applyAlignment="1"/>
    <xf numFmtId="11" fontId="0" fillId="3" borderId="0" xfId="0" applyNumberFormat="1" applyFill="1"/>
    <xf numFmtId="2" fontId="0" fillId="0" borderId="12" xfId="0" applyNumberFormat="1" applyBorder="1"/>
    <xf numFmtId="0" fontId="0" fillId="0" borderId="0" xfId="0" applyFill="1"/>
    <xf numFmtId="0" fontId="0" fillId="0" borderId="0" xfId="0" applyNumberFormat="1" applyFill="1"/>
    <xf numFmtId="0" fontId="0" fillId="0" borderId="0" xfId="0" quotePrefix="1" applyNumberFormat="1" applyFill="1"/>
    <xf numFmtId="2" fontId="0" fillId="0" borderId="0" xfId="0" applyNumberFormat="1"/>
    <xf numFmtId="3" fontId="0" fillId="3" borderId="0" xfId="0" applyNumberFormat="1" applyFill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7" fillId="0" borderId="0" xfId="0" applyFont="1" applyBorder="1"/>
    <xf numFmtId="11" fontId="0" fillId="3" borderId="4" xfId="0" applyNumberFormat="1" applyFill="1" applyBorder="1"/>
    <xf numFmtId="0" fontId="0" fillId="0" borderId="16" xfId="0" applyBorder="1"/>
    <xf numFmtId="2" fontId="0" fillId="0" borderId="16" xfId="0" applyNumberFormat="1" applyBorder="1"/>
    <xf numFmtId="0" fontId="0" fillId="0" borderId="17" xfId="0" applyBorder="1"/>
    <xf numFmtId="2" fontId="0" fillId="0" borderId="0" xfId="0" applyNumberFormat="1" applyBorder="1"/>
    <xf numFmtId="0" fontId="0" fillId="0" borderId="4" xfId="0" applyBorder="1" applyAlignment="1">
      <alignment textRotation="45"/>
    </xf>
    <xf numFmtId="0" fontId="0" fillId="0" borderId="18" xfId="0" applyFill="1" applyBorder="1" applyAlignment="1"/>
    <xf numFmtId="0" fontId="0" fillId="0" borderId="4" xfId="0" applyFill="1" applyBorder="1" applyAlignment="1"/>
    <xf numFmtId="0" fontId="0" fillId="0" borderId="19" xfId="0" applyBorder="1"/>
    <xf numFmtId="2" fontId="0" fillId="0" borderId="18" xfId="0" applyNumberFormat="1" applyBorder="1"/>
    <xf numFmtId="0" fontId="0" fillId="0" borderId="18" xfId="0" applyBorder="1"/>
    <xf numFmtId="2" fontId="0" fillId="0" borderId="19" xfId="0" applyNumberFormat="1" applyBorder="1"/>
    <xf numFmtId="2" fontId="0" fillId="0" borderId="20" xfId="0" applyNumberFormat="1" applyBorder="1"/>
    <xf numFmtId="0" fontId="0" fillId="0" borderId="21" xfId="0" applyBorder="1"/>
    <xf numFmtId="2" fontId="0" fillId="0" borderId="21" xfId="0" applyNumberFormat="1" applyBorder="1"/>
    <xf numFmtId="2" fontId="0" fillId="0" borderId="8" xfId="0" applyNumberFormat="1" applyBorder="1"/>
    <xf numFmtId="0" fontId="0" fillId="0" borderId="22" xfId="0" applyBorder="1"/>
    <xf numFmtId="2" fontId="0" fillId="0" borderId="23" xfId="0" applyNumberFormat="1" applyBorder="1"/>
    <xf numFmtId="0" fontId="0" fillId="0" borderId="21" xfId="0" applyFill="1" applyBorder="1" applyAlignment="1"/>
    <xf numFmtId="0" fontId="6" fillId="0" borderId="0" xfId="0" applyFont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0" fillId="4" borderId="5" xfId="0" applyNumberFormat="1" applyFill="1" applyBorder="1"/>
    <xf numFmtId="4" fontId="0" fillId="2" borderId="0" xfId="0" applyNumberFormat="1" applyFill="1" applyBorder="1"/>
    <xf numFmtId="0" fontId="12" fillId="0" borderId="0" xfId="0" applyFont="1"/>
    <xf numFmtId="0" fontId="12" fillId="3" borderId="1" xfId="0" applyFont="1" applyFill="1" applyBorder="1"/>
    <xf numFmtId="0" fontId="12" fillId="0" borderId="21" xfId="0" applyFont="1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" xfId="0" applyFont="1" applyBorder="1"/>
    <xf numFmtId="3" fontId="12" fillId="4" borderId="5" xfId="0" applyNumberFormat="1" applyFont="1" applyFill="1" applyBorder="1"/>
    <xf numFmtId="3" fontId="12" fillId="0" borderId="20" xfId="0" applyNumberFormat="1" applyFont="1" applyBorder="1"/>
    <xf numFmtId="3" fontId="12" fillId="0" borderId="21" xfId="0" applyNumberFormat="1" applyFont="1" applyBorder="1"/>
    <xf numFmtId="2" fontId="0" fillId="0" borderId="4" xfId="0" applyNumberFormat="1" applyFill="1" applyBorder="1" applyAlignment="1"/>
    <xf numFmtId="2" fontId="0" fillId="0" borderId="22" xfId="0" applyNumberFormat="1" applyBorder="1"/>
    <xf numFmtId="4" fontId="0" fillId="0" borderId="24" xfId="0" applyNumberFormat="1" applyBorder="1"/>
    <xf numFmtId="4" fontId="0" fillId="0" borderId="25" xfId="0" applyNumberFormat="1" applyBorder="1"/>
    <xf numFmtId="4" fontId="0" fillId="0" borderId="16" xfId="0" applyNumberFormat="1" applyBorder="1"/>
    <xf numFmtId="3" fontId="12" fillId="0" borderId="22" xfId="0" applyNumberFormat="1" applyFont="1" applyBorder="1"/>
    <xf numFmtId="3" fontId="12" fillId="0" borderId="24" xfId="0" applyNumberFormat="1" applyFont="1" applyBorder="1"/>
    <xf numFmtId="0" fontId="0" fillId="5" borderId="0" xfId="0" applyNumberFormat="1" applyFill="1"/>
    <xf numFmtId="0" fontId="0" fillId="5" borderId="1" xfId="0" applyFill="1" applyBorder="1"/>
    <xf numFmtId="0" fontId="4" fillId="5" borderId="1" xfId="0" applyFont="1" applyFill="1" applyBorder="1"/>
    <xf numFmtId="3" fontId="12" fillId="5" borderId="1" xfId="0" applyNumberFormat="1" applyFont="1" applyFill="1" applyBorder="1"/>
    <xf numFmtId="0" fontId="12" fillId="5" borderId="1" xfId="0" applyFont="1" applyFill="1" applyBorder="1"/>
    <xf numFmtId="0" fontId="12" fillId="5" borderId="0" xfId="0" applyFont="1" applyFill="1"/>
    <xf numFmtId="4" fontId="12" fillId="4" borderId="5" xfId="0" applyNumberFormat="1" applyFont="1" applyFill="1" applyBorder="1"/>
    <xf numFmtId="11" fontId="0" fillId="5" borderId="0" xfId="0" applyNumberFormat="1" applyFill="1"/>
    <xf numFmtId="11" fontId="0" fillId="5" borderId="13" xfId="0" applyNumberFormat="1" applyFill="1" applyBorder="1"/>
    <xf numFmtId="11" fontId="0" fillId="5" borderId="14" xfId="0" applyNumberFormat="1" applyFill="1" applyBorder="1"/>
    <xf numFmtId="0" fontId="11" fillId="5" borderId="1" xfId="0" applyFont="1" applyFill="1" applyBorder="1"/>
    <xf numFmtId="0" fontId="12" fillId="0" borderId="1" xfId="0" applyFont="1" applyFill="1" applyBorder="1"/>
    <xf numFmtId="4" fontId="0" fillId="4" borderId="5" xfId="0" applyNumberFormat="1" applyFill="1" applyBorder="1"/>
    <xf numFmtId="11" fontId="0" fillId="3" borderId="13" xfId="0" applyNumberFormat="1" applyFill="1" applyBorder="1"/>
    <xf numFmtId="11" fontId="0" fillId="3" borderId="14" xfId="0" applyNumberFormat="1" applyFill="1" applyBorder="1"/>
    <xf numFmtId="11" fontId="0" fillId="3" borderId="26" xfId="0" applyNumberFormat="1" applyFill="1" applyBorder="1"/>
    <xf numFmtId="11" fontId="0" fillId="3" borderId="27" xfId="0" applyNumberFormat="1" applyFill="1" applyBorder="1"/>
    <xf numFmtId="0" fontId="12" fillId="5" borderId="15" xfId="0" applyFont="1" applyFill="1" applyBorder="1"/>
    <xf numFmtId="0" fontId="12" fillId="0" borderId="15" xfId="0" applyFont="1" applyBorder="1"/>
    <xf numFmtId="11" fontId="12" fillId="5" borderId="10" xfId="0" applyNumberFormat="1" applyFont="1" applyFill="1" applyBorder="1"/>
    <xf numFmtId="3" fontId="9" fillId="5" borderId="0" xfId="0" applyNumberFormat="1" applyFont="1" applyFill="1"/>
    <xf numFmtId="11" fontId="0" fillId="5" borderId="10" xfId="0" applyNumberFormat="1" applyFill="1" applyBorder="1"/>
    <xf numFmtId="2" fontId="0" fillId="3" borderId="4" xfId="0" applyNumberFormat="1" applyFill="1" applyBorder="1"/>
    <xf numFmtId="3" fontId="12" fillId="5" borderId="5" xfId="0" applyNumberFormat="1" applyFont="1" applyFill="1" applyBorder="1"/>
    <xf numFmtId="2" fontId="0" fillId="4" borderId="28" xfId="0" applyNumberFormat="1" applyFill="1" applyBorder="1"/>
    <xf numFmtId="3" fontId="12" fillId="4" borderId="28" xfId="0" applyNumberFormat="1" applyFont="1" applyFill="1" applyBorder="1"/>
    <xf numFmtId="2" fontId="0" fillId="3" borderId="5" xfId="0" applyNumberFormat="1" applyFill="1" applyBorder="1"/>
    <xf numFmtId="9" fontId="0" fillId="5" borderId="0" xfId="0" applyNumberFormat="1" applyFill="1"/>
    <xf numFmtId="2" fontId="0" fillId="5" borderId="5" xfId="0" applyNumberFormat="1" applyFill="1" applyBorder="1"/>
    <xf numFmtId="4" fontId="12" fillId="5" borderId="5" xfId="0" applyNumberFormat="1" applyFont="1" applyFill="1" applyBorder="1"/>
    <xf numFmtId="2" fontId="0" fillId="3" borderId="0" xfId="0" applyNumberFormat="1" applyFill="1"/>
    <xf numFmtId="0" fontId="0" fillId="5" borderId="0" xfId="0" applyFill="1" applyAlignment="1">
      <alignment horizontal="center"/>
    </xf>
    <xf numFmtId="0" fontId="0" fillId="0" borderId="1" xfId="0" applyBorder="1" applyAlignment="1">
      <alignment horizontal="center"/>
    </xf>
    <xf numFmtId="164" fontId="0" fillId="2" borderId="0" xfId="0" applyNumberFormat="1" applyFill="1"/>
    <xf numFmtId="2" fontId="12" fillId="5" borderId="5" xfId="0" applyNumberFormat="1" applyFont="1" applyFill="1" applyBorder="1"/>
    <xf numFmtId="0" fontId="0" fillId="0" borderId="0" xfId="0" applyFont="1" applyAlignment="1">
      <alignment horizontal="right"/>
    </xf>
    <xf numFmtId="0" fontId="7" fillId="0" borderId="1" xfId="0" applyFont="1" applyBorder="1"/>
    <xf numFmtId="17" fontId="4" fillId="2" borderId="0" xfId="0" quotePrefix="1" applyNumberFormat="1" applyFont="1" applyFill="1"/>
    <xf numFmtId="164" fontId="0" fillId="3" borderId="0" xfId="0" applyNumberFormat="1" applyFill="1"/>
    <xf numFmtId="0" fontId="0" fillId="0" borderId="0" xfId="0" applyBorder="1" applyAlignment="1">
      <alignment horizontal="center"/>
    </xf>
    <xf numFmtId="0" fontId="3" fillId="0" borderId="0" xfId="1"/>
    <xf numFmtId="2" fontId="3" fillId="0" borderId="0" xfId="1" applyNumberFormat="1"/>
    <xf numFmtId="164" fontId="3" fillId="0" borderId="0" xfId="1" applyNumberFormat="1"/>
    <xf numFmtId="0" fontId="4" fillId="0" borderId="0" xfId="0" applyFont="1" applyAlignment="1">
      <alignment horizontal="right"/>
    </xf>
    <xf numFmtId="4" fontId="0" fillId="0" borderId="0" xfId="0" applyNumberFormat="1"/>
    <xf numFmtId="0" fontId="0" fillId="0" borderId="12" xfId="0" applyBorder="1"/>
    <xf numFmtId="0" fontId="4" fillId="0" borderId="0" xfId="0" applyFont="1"/>
    <xf numFmtId="0" fontId="0" fillId="0" borderId="30" xfId="0" applyBorder="1"/>
    <xf numFmtId="0" fontId="0" fillId="0" borderId="21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65" fontId="0" fillId="0" borderId="0" xfId="0" applyNumberFormat="1"/>
    <xf numFmtId="2" fontId="0" fillId="0" borderId="0" xfId="0" applyNumberFormat="1" applyFill="1" applyBorder="1"/>
    <xf numFmtId="0" fontId="0" fillId="0" borderId="21" xfId="0" applyBorder="1" applyAlignment="1">
      <alignment horizontal="center"/>
    </xf>
    <xf numFmtId="11" fontId="6" fillId="3" borderId="4" xfId="0" applyNumberFormat="1" applyFont="1" applyFill="1" applyBorder="1"/>
    <xf numFmtId="11" fontId="0" fillId="0" borderId="0" xfId="0" applyNumberFormat="1"/>
    <xf numFmtId="167" fontId="0" fillId="0" borderId="0" xfId="0" applyNumberFormat="1"/>
    <xf numFmtId="0" fontId="0" fillId="0" borderId="3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2" xfId="0" applyBorder="1"/>
    <xf numFmtId="0" fontId="4" fillId="0" borderId="3" xfId="0" applyFont="1" applyBorder="1"/>
    <xf numFmtId="10" fontId="0" fillId="0" borderId="2" xfId="0" applyNumberFormat="1" applyBorder="1"/>
    <xf numFmtId="10" fontId="0" fillId="0" borderId="3" xfId="0" applyNumberFormat="1" applyBorder="1"/>
    <xf numFmtId="0" fontId="4" fillId="0" borderId="2" xfId="0" applyFont="1" applyBorder="1"/>
    <xf numFmtId="2" fontId="0" fillId="0" borderId="2" xfId="0" applyNumberFormat="1" applyBorder="1"/>
    <xf numFmtId="0" fontId="4" fillId="0" borderId="0" xfId="0" applyFont="1" applyBorder="1"/>
    <xf numFmtId="0" fontId="4" fillId="0" borderId="31" xfId="0" applyFont="1" applyBorder="1"/>
    <xf numFmtId="2" fontId="0" fillId="0" borderId="17" xfId="0" applyNumberFormat="1" applyBorder="1"/>
    <xf numFmtId="9" fontId="0" fillId="0" borderId="0" xfId="0" applyNumberFormat="1"/>
    <xf numFmtId="2" fontId="0" fillId="0" borderId="31" xfId="0" applyNumberFormat="1" applyBorder="1"/>
    <xf numFmtId="0" fontId="0" fillId="0" borderId="32" xfId="0" applyBorder="1"/>
    <xf numFmtId="166" fontId="0" fillId="3" borderId="2" xfId="0" applyNumberFormat="1" applyFill="1" applyBorder="1"/>
    <xf numFmtId="0" fontId="0" fillId="0" borderId="33" xfId="0" applyBorder="1"/>
    <xf numFmtId="0" fontId="0" fillId="3" borderId="9" xfId="0" applyFill="1" applyBorder="1"/>
    <xf numFmtId="11" fontId="0" fillId="0" borderId="2" xfId="0" applyNumberFormat="1" applyFill="1" applyBorder="1"/>
    <xf numFmtId="0" fontId="0" fillId="0" borderId="2" xfId="0" applyFill="1" applyBorder="1"/>
    <xf numFmtId="0" fontId="0" fillId="0" borderId="23" xfId="0" applyBorder="1"/>
    <xf numFmtId="0" fontId="0" fillId="0" borderId="20" xfId="0" applyBorder="1"/>
    <xf numFmtId="11" fontId="0" fillId="3" borderId="18" xfId="0" applyNumberFormat="1" applyFill="1" applyBorder="1"/>
    <xf numFmtId="11" fontId="0" fillId="3" borderId="21" xfId="0" applyNumberFormat="1" applyFill="1" applyBorder="1"/>
    <xf numFmtId="166" fontId="0" fillId="3" borderId="18" xfId="0" applyNumberFormat="1" applyFill="1" applyBorder="1"/>
    <xf numFmtId="166" fontId="0" fillId="3" borderId="21" xfId="0" applyNumberFormat="1" applyFill="1" applyBorder="1"/>
    <xf numFmtId="0" fontId="0" fillId="0" borderId="35" xfId="0" applyBorder="1"/>
    <xf numFmtId="0" fontId="0" fillId="0" borderId="36" xfId="0" applyBorder="1"/>
    <xf numFmtId="0" fontId="0" fillId="3" borderId="37" xfId="0" applyFill="1" applyBorder="1"/>
    <xf numFmtId="0" fontId="0" fillId="3" borderId="38" xfId="0" applyFill="1" applyBorder="1"/>
    <xf numFmtId="11" fontId="0" fillId="0" borderId="18" xfId="0" applyNumberFormat="1" applyFill="1" applyBorder="1"/>
    <xf numFmtId="0" fontId="0" fillId="0" borderId="31" xfId="0" applyFill="1" applyBorder="1"/>
    <xf numFmtId="11" fontId="0" fillId="0" borderId="21" xfId="0" applyNumberFormat="1" applyFill="1" applyBorder="1"/>
    <xf numFmtId="0" fontId="0" fillId="0" borderId="18" xfId="0" applyFill="1" applyBorder="1"/>
    <xf numFmtId="0" fontId="0" fillId="0" borderId="21" xfId="0" applyFill="1" applyBorder="1"/>
    <xf numFmtId="0" fontId="4" fillId="0" borderId="34" xfId="0" applyFont="1" applyBorder="1" applyAlignment="1">
      <alignment horizontal="center"/>
    </xf>
    <xf numFmtId="0" fontId="6" fillId="0" borderId="0" xfId="0" applyFont="1" applyAlignment="1">
      <alignment horizontal="right"/>
    </xf>
    <xf numFmtId="166" fontId="6" fillId="3" borderId="18" xfId="0" applyNumberFormat="1" applyFont="1" applyFill="1" applyBorder="1"/>
    <xf numFmtId="166" fontId="6" fillId="3" borderId="21" xfId="0" applyNumberFormat="1" applyFont="1" applyFill="1" applyBorder="1"/>
    <xf numFmtId="11" fontId="6" fillId="0" borderId="18" xfId="0" applyNumberFormat="1" applyFont="1" applyFill="1" applyBorder="1"/>
    <xf numFmtId="11" fontId="6" fillId="0" borderId="21" xfId="0" applyNumberFormat="1" applyFont="1" applyFill="1" applyBorder="1"/>
    <xf numFmtId="11" fontId="6" fillId="0" borderId="2" xfId="0" applyNumberFormat="1" applyFont="1" applyFill="1" applyBorder="1"/>
    <xf numFmtId="0" fontId="6" fillId="0" borderId="18" xfId="0" applyFont="1" applyFill="1" applyBorder="1"/>
    <xf numFmtId="0" fontId="6" fillId="0" borderId="21" xfId="0" applyFont="1" applyFill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65" fontId="0" fillId="3" borderId="0" xfId="0" applyNumberFormat="1" applyFill="1"/>
    <xf numFmtId="0" fontId="4" fillId="0" borderId="2" xfId="0" applyFont="1" applyBorder="1" applyAlignment="1"/>
    <xf numFmtId="0" fontId="0" fillId="0" borderId="3" xfId="0" applyBorder="1" applyAlignment="1"/>
    <xf numFmtId="0" fontId="4" fillId="0" borderId="1" xfId="0" applyFont="1" applyBorder="1"/>
    <xf numFmtId="0" fontId="7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2" fontId="4" fillId="0" borderId="17" xfId="0" applyNumberFormat="1" applyFont="1" applyBorder="1"/>
    <xf numFmtId="2" fontId="0" fillId="0" borderId="17" xfId="0" applyNumberFormat="1" applyFill="1" applyBorder="1"/>
    <xf numFmtId="0" fontId="0" fillId="0" borderId="31" xfId="0" applyBorder="1"/>
    <xf numFmtId="10" fontId="4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1" applyFont="1"/>
    <xf numFmtId="168" fontId="0" fillId="2" borderId="0" xfId="0" applyNumberFormat="1" applyFill="1" applyBorder="1"/>
    <xf numFmtId="0" fontId="7" fillId="0" borderId="15" xfId="0" applyFont="1" applyBorder="1"/>
    <xf numFmtId="0" fontId="0" fillId="0" borderId="10" xfId="0" applyBorder="1"/>
    <xf numFmtId="0" fontId="0" fillId="0" borderId="39" xfId="0" applyBorder="1"/>
    <xf numFmtId="166" fontId="0" fillId="3" borderId="0" xfId="0" applyNumberFormat="1" applyFill="1" applyBorder="1"/>
    <xf numFmtId="11" fontId="0" fillId="0" borderId="0" xfId="0" applyNumberFormat="1" applyFill="1" applyBorder="1"/>
    <xf numFmtId="11" fontId="6" fillId="0" borderId="0" xfId="0" applyNumberFormat="1" applyFont="1" applyFill="1" applyBorder="1"/>
    <xf numFmtId="0" fontId="0" fillId="0" borderId="15" xfId="0" applyBorder="1"/>
    <xf numFmtId="0" fontId="4" fillId="0" borderId="1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1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1" fontId="0" fillId="0" borderId="17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0" borderId="31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0" fontId="4" fillId="0" borderId="17" xfId="0" applyFont="1" applyBorder="1"/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10" fontId="0" fillId="0" borderId="0" xfId="0" applyNumberFormat="1"/>
    <xf numFmtId="9" fontId="0" fillId="2" borderId="0" xfId="0" applyNumberFormat="1" applyFill="1" applyBorder="1"/>
    <xf numFmtId="0" fontId="0" fillId="4" borderId="5" xfId="0" applyNumberFormat="1" applyFill="1" applyBorder="1"/>
    <xf numFmtId="11" fontId="4" fillId="0" borderId="0" xfId="0" applyNumberFormat="1" applyFont="1" applyBorder="1" applyAlignment="1">
      <alignment horizontal="center"/>
    </xf>
    <xf numFmtId="11" fontId="4" fillId="0" borderId="31" xfId="0" applyNumberFormat="1" applyFont="1" applyBorder="1" applyAlignment="1">
      <alignment horizontal="center"/>
    </xf>
    <xf numFmtId="11" fontId="4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7" xfId="1" applyFont="1" applyBorder="1"/>
    <xf numFmtId="0" fontId="3" fillId="0" borderId="7" xfId="1" applyBorder="1"/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12" fillId="4" borderId="9" xfId="0" applyNumberFormat="1" applyFont="1" applyFill="1" applyBorder="1" applyAlignment="1"/>
    <xf numFmtId="3" fontId="12" fillId="4" borderId="10" xfId="0" applyNumberFormat="1" applyFont="1" applyFill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12" fillId="4" borderId="29" xfId="0" applyNumberFormat="1" applyFont="1" applyFill="1" applyBorder="1" applyAlignment="1"/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AE58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'1.4'!$C$6</c:f>
              <c:strCache>
                <c:ptCount val="1"/>
                <c:pt idx="0">
                  <c:v>PM10</c:v>
                </c:pt>
              </c:strCache>
            </c:strRef>
          </c:tx>
          <c:invertIfNegative val="0"/>
          <c:cat>
            <c:strRef>
              <c:f>'1.4'!$B$9</c:f>
              <c:strCache>
                <c:ptCount val="1"/>
                <c:pt idx="0">
                  <c:v>Emissions</c:v>
                </c:pt>
              </c:strCache>
            </c:strRef>
          </c:cat>
          <c:val>
            <c:numRef>
              <c:f>'1.4'!$C$9</c:f>
              <c:numCache>
                <c:formatCode>0.00</c:formatCode>
                <c:ptCount val="1"/>
                <c:pt idx="0">
                  <c:v>0.32635294117647062</c:v>
                </c:pt>
              </c:numCache>
            </c:numRef>
          </c:val>
        </c:ser>
        <c:ser>
          <c:idx val="1"/>
          <c:order val="1"/>
          <c:tx>
            <c:strRef>
              <c:f>'1.4'!$D$6</c:f>
              <c:strCache>
                <c:ptCount val="1"/>
                <c:pt idx="0">
                  <c:v>SO2</c:v>
                </c:pt>
              </c:strCache>
            </c:strRef>
          </c:tx>
          <c:invertIfNegative val="0"/>
          <c:cat>
            <c:strRef>
              <c:f>'1.4'!$B$9</c:f>
              <c:strCache>
                <c:ptCount val="1"/>
                <c:pt idx="0">
                  <c:v>Emissions</c:v>
                </c:pt>
              </c:strCache>
            </c:strRef>
          </c:cat>
          <c:val>
            <c:numRef>
              <c:f>'1.4'!$D$9</c:f>
              <c:numCache>
                <c:formatCode>0.00</c:formatCode>
                <c:ptCount val="1"/>
                <c:pt idx="0">
                  <c:v>2.5764705882352943E-2</c:v>
                </c:pt>
              </c:numCache>
            </c:numRef>
          </c:val>
        </c:ser>
        <c:ser>
          <c:idx val="2"/>
          <c:order val="2"/>
          <c:tx>
            <c:strRef>
              <c:f>'1.4'!$E$6</c:f>
              <c:strCache>
                <c:ptCount val="1"/>
                <c:pt idx="0">
                  <c:v>NOX</c:v>
                </c:pt>
              </c:strCache>
            </c:strRef>
          </c:tx>
          <c:invertIfNegative val="0"/>
          <c:cat>
            <c:strRef>
              <c:f>'1.4'!$B$9</c:f>
              <c:strCache>
                <c:ptCount val="1"/>
                <c:pt idx="0">
                  <c:v>Emissions</c:v>
                </c:pt>
              </c:strCache>
            </c:strRef>
          </c:cat>
          <c:val>
            <c:numRef>
              <c:f>'1.4'!$E$9</c:f>
              <c:numCache>
                <c:formatCode>0.00</c:formatCode>
                <c:ptCount val="1"/>
                <c:pt idx="0">
                  <c:v>4.2941176470588234</c:v>
                </c:pt>
              </c:numCache>
            </c:numRef>
          </c:val>
        </c:ser>
        <c:ser>
          <c:idx val="3"/>
          <c:order val="3"/>
          <c:tx>
            <c:strRef>
              <c:f>'1.4'!$F$6</c:f>
              <c:strCache>
                <c:ptCount val="1"/>
                <c:pt idx="0">
                  <c:v>CO</c:v>
                </c:pt>
              </c:strCache>
            </c:strRef>
          </c:tx>
          <c:invertIfNegative val="0"/>
          <c:cat>
            <c:strRef>
              <c:f>'1.4'!$B$9</c:f>
              <c:strCache>
                <c:ptCount val="1"/>
                <c:pt idx="0">
                  <c:v>Emissions</c:v>
                </c:pt>
              </c:strCache>
            </c:strRef>
          </c:cat>
          <c:val>
            <c:numRef>
              <c:f>'1.4'!$F$9</c:f>
              <c:numCache>
                <c:formatCode>0.00</c:formatCode>
                <c:ptCount val="1"/>
                <c:pt idx="0">
                  <c:v>3.6070588235294117</c:v>
                </c:pt>
              </c:numCache>
            </c:numRef>
          </c:val>
        </c:ser>
        <c:ser>
          <c:idx val="4"/>
          <c:order val="4"/>
          <c:tx>
            <c:strRef>
              <c:f>'1.4'!$K$6</c:f>
              <c:strCache>
                <c:ptCount val="1"/>
                <c:pt idx="0">
                  <c:v>VOC</c:v>
                </c:pt>
              </c:strCache>
            </c:strRef>
          </c:tx>
          <c:invertIfNegative val="0"/>
          <c:cat>
            <c:strRef>
              <c:f>'1.4'!$B$9</c:f>
              <c:strCache>
                <c:ptCount val="1"/>
                <c:pt idx="0">
                  <c:v>Emissions</c:v>
                </c:pt>
              </c:strCache>
            </c:strRef>
          </c:cat>
          <c:val>
            <c:numRef>
              <c:f>'1.4'!$K$9</c:f>
              <c:numCache>
                <c:formatCode>0.00</c:formatCode>
                <c:ptCount val="1"/>
                <c:pt idx="0">
                  <c:v>0.23617647058823529</c:v>
                </c:pt>
              </c:numCache>
            </c:numRef>
          </c:val>
        </c:ser>
        <c:ser>
          <c:idx val="5"/>
          <c:order val="5"/>
          <c:tx>
            <c:strRef>
              <c:f>'1.4'!$L$6</c:f>
              <c:strCache>
                <c:ptCount val="1"/>
                <c:pt idx="0">
                  <c:v>HAP's</c:v>
                </c:pt>
              </c:strCache>
            </c:strRef>
          </c:tx>
          <c:invertIfNegative val="0"/>
          <c:cat>
            <c:strRef>
              <c:f>'1.4'!$B$9</c:f>
              <c:strCache>
                <c:ptCount val="1"/>
                <c:pt idx="0">
                  <c:v>Emissions</c:v>
                </c:pt>
              </c:strCache>
            </c:strRef>
          </c:cat>
          <c:val>
            <c:numRef>
              <c:f>'1.4'!$L$9</c:f>
              <c:numCache>
                <c:formatCode>0.00</c:formatCode>
                <c:ptCount val="1"/>
                <c:pt idx="0">
                  <c:v>8.1114087411764707E-2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553664"/>
        <c:axId val="165555200"/>
      </c:barChart>
      <c:catAx>
        <c:axId val="1655536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165555200"/>
        <c:crosses val="autoZero"/>
        <c:auto val="1"/>
        <c:lblAlgn val="ctr"/>
        <c:lblOffset val="100"/>
        <c:noMultiLvlLbl val="0"/>
      </c:catAx>
      <c:valAx>
        <c:axId val="1655552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55536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146860306649576"/>
          <c:y val="2.6666691442353788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Uncontrolled</c:v>
                </c:pt>
              </c:strCache>
            </c:strRef>
          </c:tx>
          <c:cat>
            <c:strRef>
              <c:f>Sheet1!$A$2:$A$9</c:f>
              <c:strCache>
                <c:ptCount val="8"/>
                <c:pt idx="0">
                  <c:v>Dehydrators</c:v>
                </c:pt>
                <c:pt idx="1">
                  <c:v>Storage Tanks</c:v>
                </c:pt>
                <c:pt idx="2">
                  <c:v>Pneumatics</c:v>
                </c:pt>
                <c:pt idx="3">
                  <c:v>Truck Loading</c:v>
                </c:pt>
                <c:pt idx="4">
                  <c:v>Fugitive Emissions</c:v>
                </c:pt>
                <c:pt idx="5">
                  <c:v>Pump Jack Engine</c:v>
                </c:pt>
                <c:pt idx="6">
                  <c:v>Heaters/Boilers</c:v>
                </c:pt>
                <c:pt idx="7">
                  <c:v>VOC Control Device</c:v>
                </c:pt>
              </c:strCache>
            </c:strRef>
          </c:cat>
          <c:val>
            <c:numRef>
              <c:f>Sheet1!$B$2:$B$9</c:f>
              <c:numCache>
                <c:formatCode>0.00</c:formatCode>
                <c:ptCount val="8"/>
                <c:pt idx="0">
                  <c:v>46.351822222222218</c:v>
                </c:pt>
                <c:pt idx="1">
                  <c:v>44.196043947078103</c:v>
                </c:pt>
                <c:pt idx="2">
                  <c:v>21</c:v>
                </c:pt>
                <c:pt idx="3">
                  <c:v>18.97035</c:v>
                </c:pt>
                <c:pt idx="4">
                  <c:v>7.7490079365079376</c:v>
                </c:pt>
                <c:pt idx="5">
                  <c:v>0.47829600000000005</c:v>
                </c:pt>
                <c:pt idx="6">
                  <c:v>0.23617647058823529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475081270904753"/>
          <c:y val="0.22890829669872034"/>
          <c:w val="0.34105534105534108"/>
          <c:h val="0.69981663346086709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Dehydrators</c:v>
                </c:pt>
              </c:strCache>
            </c:strRef>
          </c:tx>
          <c:invertIfNegative val="0"/>
          <c:cat>
            <c:strRef>
              <c:f>Sheet2!$B$1:$C$1</c:f>
              <c:strCache>
                <c:ptCount val="2"/>
                <c:pt idx="0">
                  <c:v>Uncontrolled</c:v>
                </c:pt>
                <c:pt idx="1">
                  <c:v>Controlled</c:v>
                </c:pt>
              </c:strCache>
            </c:strRef>
          </c:cat>
          <c:val>
            <c:numRef>
              <c:f>Sheet2!$B$2:$C$2</c:f>
              <c:numCache>
                <c:formatCode>0.00</c:formatCode>
                <c:ptCount val="2"/>
                <c:pt idx="0">
                  <c:v>46.351822222222218</c:v>
                </c:pt>
                <c:pt idx="1">
                  <c:v>0.92703644444444522</c:v>
                </c:pt>
              </c:numCache>
            </c:numRef>
          </c:val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Storage Tanks</c:v>
                </c:pt>
              </c:strCache>
            </c:strRef>
          </c:tx>
          <c:invertIfNegative val="0"/>
          <c:cat>
            <c:strRef>
              <c:f>Sheet2!$B$1:$C$1</c:f>
              <c:strCache>
                <c:ptCount val="2"/>
                <c:pt idx="0">
                  <c:v>Uncontrolled</c:v>
                </c:pt>
                <c:pt idx="1">
                  <c:v>Controlled</c:v>
                </c:pt>
              </c:strCache>
            </c:strRef>
          </c:cat>
          <c:val>
            <c:numRef>
              <c:f>Sheet2!$B$3:$C$3</c:f>
              <c:numCache>
                <c:formatCode>0.00</c:formatCode>
                <c:ptCount val="2"/>
                <c:pt idx="0">
                  <c:v>44.196043947078103</c:v>
                </c:pt>
                <c:pt idx="1">
                  <c:v>0.89394627894156287</c:v>
                </c:pt>
              </c:numCache>
            </c:numRef>
          </c:val>
        </c:ser>
        <c:ser>
          <c:idx val="2"/>
          <c:order val="2"/>
          <c:tx>
            <c:strRef>
              <c:f>Sheet2!$A$4</c:f>
              <c:strCache>
                <c:ptCount val="1"/>
                <c:pt idx="0">
                  <c:v>Pneumatics</c:v>
                </c:pt>
              </c:strCache>
            </c:strRef>
          </c:tx>
          <c:invertIfNegative val="0"/>
          <c:cat>
            <c:strRef>
              <c:f>Sheet2!$B$1:$C$1</c:f>
              <c:strCache>
                <c:ptCount val="2"/>
                <c:pt idx="0">
                  <c:v>Uncontrolled</c:v>
                </c:pt>
                <c:pt idx="1">
                  <c:v>Controlled</c:v>
                </c:pt>
              </c:strCache>
            </c:strRef>
          </c:cat>
          <c:val>
            <c:numRef>
              <c:f>Sheet2!$B$4:$C$4</c:f>
              <c:numCache>
                <c:formatCode>0.00</c:formatCode>
                <c:ptCount val="2"/>
                <c:pt idx="0">
                  <c:v>21</c:v>
                </c:pt>
                <c:pt idx="1">
                  <c:v>3</c:v>
                </c:pt>
              </c:numCache>
            </c:numRef>
          </c:val>
        </c:ser>
        <c:ser>
          <c:idx val="3"/>
          <c:order val="3"/>
          <c:tx>
            <c:strRef>
              <c:f>Sheet2!$A$5</c:f>
              <c:strCache>
                <c:ptCount val="1"/>
                <c:pt idx="0">
                  <c:v>Truck Loading</c:v>
                </c:pt>
              </c:strCache>
            </c:strRef>
          </c:tx>
          <c:invertIfNegative val="0"/>
          <c:cat>
            <c:strRef>
              <c:f>Sheet2!$B$1:$C$1</c:f>
              <c:strCache>
                <c:ptCount val="2"/>
                <c:pt idx="0">
                  <c:v>Uncontrolled</c:v>
                </c:pt>
                <c:pt idx="1">
                  <c:v>Controlled</c:v>
                </c:pt>
              </c:strCache>
            </c:strRef>
          </c:cat>
          <c:val>
            <c:numRef>
              <c:f>Sheet2!$B$5:$C$5</c:f>
              <c:numCache>
                <c:formatCode>0.00</c:formatCode>
                <c:ptCount val="2"/>
                <c:pt idx="0">
                  <c:v>18.97035</c:v>
                </c:pt>
                <c:pt idx="1">
                  <c:v>7.849800000000001</c:v>
                </c:pt>
              </c:numCache>
            </c:numRef>
          </c:val>
        </c:ser>
        <c:ser>
          <c:idx val="4"/>
          <c:order val="4"/>
          <c:tx>
            <c:strRef>
              <c:f>Sheet2!$A$6</c:f>
              <c:strCache>
                <c:ptCount val="1"/>
                <c:pt idx="0">
                  <c:v>Fugitive Emissions</c:v>
                </c:pt>
              </c:strCache>
            </c:strRef>
          </c:tx>
          <c:invertIfNegative val="0"/>
          <c:cat>
            <c:strRef>
              <c:f>Sheet2!$B$1:$C$1</c:f>
              <c:strCache>
                <c:ptCount val="2"/>
                <c:pt idx="0">
                  <c:v>Uncontrolled</c:v>
                </c:pt>
                <c:pt idx="1">
                  <c:v>Controlled</c:v>
                </c:pt>
              </c:strCache>
            </c:strRef>
          </c:cat>
          <c:val>
            <c:numRef>
              <c:f>Sheet2!$B$6:$C$6</c:f>
              <c:numCache>
                <c:formatCode>0.00</c:formatCode>
                <c:ptCount val="2"/>
                <c:pt idx="0">
                  <c:v>7.7490079365079376</c:v>
                </c:pt>
                <c:pt idx="1">
                  <c:v>0.16190839947089947</c:v>
                </c:pt>
              </c:numCache>
            </c:numRef>
          </c:val>
        </c:ser>
        <c:ser>
          <c:idx val="5"/>
          <c:order val="5"/>
          <c:tx>
            <c:strRef>
              <c:f>Sheet2!$A$7</c:f>
              <c:strCache>
                <c:ptCount val="1"/>
                <c:pt idx="0">
                  <c:v>Pump Jack Engine</c:v>
                </c:pt>
              </c:strCache>
            </c:strRef>
          </c:tx>
          <c:invertIfNegative val="0"/>
          <c:cat>
            <c:strRef>
              <c:f>Sheet2!$B$1:$C$1</c:f>
              <c:strCache>
                <c:ptCount val="2"/>
                <c:pt idx="0">
                  <c:v>Uncontrolled</c:v>
                </c:pt>
                <c:pt idx="1">
                  <c:v>Controlled</c:v>
                </c:pt>
              </c:strCache>
            </c:strRef>
          </c:cat>
          <c:val>
            <c:numRef>
              <c:f>Sheet2!$B$7:$C$7</c:f>
              <c:numCache>
                <c:formatCode>0.00</c:formatCode>
                <c:ptCount val="2"/>
                <c:pt idx="0">
                  <c:v>0.47829600000000005</c:v>
                </c:pt>
                <c:pt idx="1">
                  <c:v>0.47829600000000005</c:v>
                </c:pt>
              </c:numCache>
            </c:numRef>
          </c:val>
        </c:ser>
        <c:ser>
          <c:idx val="6"/>
          <c:order val="6"/>
          <c:tx>
            <c:strRef>
              <c:f>Sheet2!$A$8</c:f>
              <c:strCache>
                <c:ptCount val="1"/>
                <c:pt idx="0">
                  <c:v>Heaters/Boilers</c:v>
                </c:pt>
              </c:strCache>
            </c:strRef>
          </c:tx>
          <c:invertIfNegative val="0"/>
          <c:cat>
            <c:strRef>
              <c:f>Sheet2!$B$1:$C$1</c:f>
              <c:strCache>
                <c:ptCount val="2"/>
                <c:pt idx="0">
                  <c:v>Uncontrolled</c:v>
                </c:pt>
                <c:pt idx="1">
                  <c:v>Controlled</c:v>
                </c:pt>
              </c:strCache>
            </c:strRef>
          </c:cat>
          <c:val>
            <c:numRef>
              <c:f>Sheet2!$B$8:$C$8</c:f>
              <c:numCache>
                <c:formatCode>0.00</c:formatCode>
                <c:ptCount val="2"/>
                <c:pt idx="0">
                  <c:v>0.23617647058823529</c:v>
                </c:pt>
                <c:pt idx="1">
                  <c:v>0.23617647058823529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925056"/>
        <c:axId val="168926592"/>
      </c:barChart>
      <c:catAx>
        <c:axId val="1689250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168926592"/>
        <c:crosses val="autoZero"/>
        <c:auto val="1"/>
        <c:lblAlgn val="ctr"/>
        <c:lblOffset val="100"/>
        <c:noMultiLvlLbl val="0"/>
      </c:catAx>
      <c:valAx>
        <c:axId val="1689265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68925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Sheet3!$A$2</c:f>
              <c:strCache>
                <c:ptCount val="1"/>
                <c:pt idx="0">
                  <c:v>VOC</c:v>
                </c:pt>
              </c:strCache>
            </c:strRef>
          </c:tx>
          <c:invertIfNegative val="0"/>
          <c:cat>
            <c:strRef>
              <c:f>Sheet3!$B$1:$C$1</c:f>
              <c:strCache>
                <c:ptCount val="2"/>
                <c:pt idx="0">
                  <c:v>Uncontrolled</c:v>
                </c:pt>
                <c:pt idx="1">
                  <c:v>Controlled</c:v>
                </c:pt>
              </c:strCache>
            </c:strRef>
          </c:cat>
          <c:val>
            <c:numRef>
              <c:f>Sheet3!$B$2:$C$2</c:f>
              <c:numCache>
                <c:formatCode>#,##0.00</c:formatCode>
                <c:ptCount val="2"/>
                <c:pt idx="0">
                  <c:v>138.9816965763965</c:v>
                </c:pt>
                <c:pt idx="1">
                  <c:v>13.547163593445143</c:v>
                </c:pt>
              </c:numCache>
            </c:numRef>
          </c:val>
        </c:ser>
        <c:ser>
          <c:idx val="1"/>
          <c:order val="1"/>
          <c:tx>
            <c:strRef>
              <c:f>Sheet3!$A$3</c:f>
              <c:strCache>
                <c:ptCount val="1"/>
                <c:pt idx="0">
                  <c:v>NOx</c:v>
                </c:pt>
              </c:strCache>
            </c:strRef>
          </c:tx>
          <c:invertIfNegative val="0"/>
          <c:cat>
            <c:strRef>
              <c:f>Sheet3!$B$1:$C$1</c:f>
              <c:strCache>
                <c:ptCount val="2"/>
                <c:pt idx="0">
                  <c:v>Uncontrolled</c:v>
                </c:pt>
                <c:pt idx="1">
                  <c:v>Controlled</c:v>
                </c:pt>
              </c:strCache>
            </c:strRef>
          </c:cat>
          <c:val>
            <c:numRef>
              <c:f>Sheet3!$B$3:$C$3</c:f>
              <c:numCache>
                <c:formatCode>#,##0.00</c:formatCode>
                <c:ptCount val="2"/>
                <c:pt idx="0">
                  <c:v>16.929103647058824</c:v>
                </c:pt>
                <c:pt idx="1">
                  <c:v>8.4495781098243601</c:v>
                </c:pt>
              </c:numCache>
            </c:numRef>
          </c:val>
        </c:ser>
        <c:ser>
          <c:idx val="2"/>
          <c:order val="2"/>
          <c:tx>
            <c:strRef>
              <c:f>Sheet3!$A$4</c:f>
              <c:strCache>
                <c:ptCount val="1"/>
                <c:pt idx="0">
                  <c:v>CO</c:v>
                </c:pt>
              </c:strCache>
            </c:strRef>
          </c:tx>
          <c:invertIfNegative val="0"/>
          <c:cat>
            <c:strRef>
              <c:f>Sheet3!$B$1:$C$1</c:f>
              <c:strCache>
                <c:ptCount val="2"/>
                <c:pt idx="0">
                  <c:v>Uncontrolled</c:v>
                </c:pt>
                <c:pt idx="1">
                  <c:v>Controlled</c:v>
                </c:pt>
              </c:strCache>
            </c:strRef>
          </c:cat>
          <c:val>
            <c:numRef>
              <c:f>Sheet3!$B$4:$C$4</c:f>
              <c:numCache>
                <c:formatCode>#,##0.00</c:formatCode>
                <c:ptCount val="2"/>
                <c:pt idx="0">
                  <c:v>9.6961569835230943</c:v>
                </c:pt>
                <c:pt idx="1">
                  <c:v>12.937356983523093</c:v>
                </c:pt>
              </c:numCache>
            </c:numRef>
          </c:val>
        </c:ser>
        <c:ser>
          <c:idx val="3"/>
          <c:order val="3"/>
          <c:tx>
            <c:strRef>
              <c:f>Sheet3!$A$5</c:f>
              <c:strCache>
                <c:ptCount val="1"/>
                <c:pt idx="0">
                  <c:v>HAP</c:v>
                </c:pt>
              </c:strCache>
            </c:strRef>
          </c:tx>
          <c:invertIfNegative val="0"/>
          <c:cat>
            <c:strRef>
              <c:f>Sheet3!$B$1:$C$1</c:f>
              <c:strCache>
                <c:ptCount val="2"/>
                <c:pt idx="0">
                  <c:v>Uncontrolled</c:v>
                </c:pt>
                <c:pt idx="1">
                  <c:v>Controlled</c:v>
                </c:pt>
              </c:strCache>
            </c:strRef>
          </c:cat>
          <c:val>
            <c:numRef>
              <c:f>Sheet3!$B$5:$C$5</c:f>
              <c:numCache>
                <c:formatCode>#,##0.00</c:formatCode>
                <c:ptCount val="2"/>
                <c:pt idx="0">
                  <c:v>34.302691501274317</c:v>
                </c:pt>
                <c:pt idx="1">
                  <c:v>2.5485749421706858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974592"/>
        <c:axId val="168976384"/>
      </c:barChart>
      <c:catAx>
        <c:axId val="1689745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168976384"/>
        <c:crosses val="autoZero"/>
        <c:auto val="1"/>
        <c:lblAlgn val="ctr"/>
        <c:lblOffset val="100"/>
        <c:noMultiLvlLbl val="0"/>
      </c:catAx>
      <c:valAx>
        <c:axId val="168976384"/>
        <c:scaling>
          <c:orientation val="minMax"/>
          <c:max val="14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689745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2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'3.2'!$C$6</c:f>
              <c:strCache>
                <c:ptCount val="1"/>
                <c:pt idx="0">
                  <c:v>PM10</c:v>
                </c:pt>
              </c:strCache>
            </c:strRef>
          </c:tx>
          <c:invertIfNegative val="0"/>
          <c:cat>
            <c:strRef>
              <c:f>'3.2'!$B$8:$B$9</c:f>
              <c:strCache>
                <c:ptCount val="2"/>
                <c:pt idx="0">
                  <c:v>Uncontrolled</c:v>
                </c:pt>
                <c:pt idx="1">
                  <c:v>Controlled</c:v>
                </c:pt>
              </c:strCache>
            </c:strRef>
          </c:cat>
          <c:val>
            <c:numRef>
              <c:f>'3.2'!$C$8:$C$9</c:f>
              <c:numCache>
                <c:formatCode>0.00</c:formatCode>
                <c:ptCount val="2"/>
                <c:pt idx="0">
                  <c:v>0.19255399799999998</c:v>
                </c:pt>
                <c:pt idx="1">
                  <c:v>0.19255399799999998</c:v>
                </c:pt>
              </c:numCache>
            </c:numRef>
          </c:val>
        </c:ser>
        <c:ser>
          <c:idx val="1"/>
          <c:order val="1"/>
          <c:tx>
            <c:strRef>
              <c:f>'3.2'!$D$6</c:f>
              <c:strCache>
                <c:ptCount val="1"/>
                <c:pt idx="0">
                  <c:v>SO2</c:v>
                </c:pt>
              </c:strCache>
            </c:strRef>
          </c:tx>
          <c:invertIfNegative val="0"/>
          <c:cat>
            <c:strRef>
              <c:f>'3.2'!$B$8:$B$9</c:f>
              <c:strCache>
                <c:ptCount val="2"/>
                <c:pt idx="0">
                  <c:v>Uncontrolled</c:v>
                </c:pt>
                <c:pt idx="1">
                  <c:v>Controlled</c:v>
                </c:pt>
              </c:strCache>
            </c:strRef>
          </c:cat>
          <c:val>
            <c:numRef>
              <c:f>'3.2'!$D$8:$D$9</c:f>
              <c:numCache>
                <c:formatCode>0.00</c:formatCode>
                <c:ptCount val="2"/>
                <c:pt idx="0">
                  <c:v>2.3436503999999998E-3</c:v>
                </c:pt>
                <c:pt idx="1">
                  <c:v>2.3436503999999998E-3</c:v>
                </c:pt>
              </c:numCache>
            </c:numRef>
          </c:val>
        </c:ser>
        <c:ser>
          <c:idx val="2"/>
          <c:order val="2"/>
          <c:tx>
            <c:strRef>
              <c:f>'3.2'!$E$6</c:f>
              <c:strCache>
                <c:ptCount val="1"/>
                <c:pt idx="0">
                  <c:v>NOX</c:v>
                </c:pt>
              </c:strCache>
            </c:strRef>
          </c:tx>
          <c:invertIfNegative val="0"/>
          <c:cat>
            <c:strRef>
              <c:f>'3.2'!$B$8:$B$9</c:f>
              <c:strCache>
                <c:ptCount val="2"/>
                <c:pt idx="0">
                  <c:v>Uncontrolled</c:v>
                </c:pt>
                <c:pt idx="1">
                  <c:v>Controlled</c:v>
                </c:pt>
              </c:strCache>
            </c:strRef>
          </c:cat>
          <c:val>
            <c:numRef>
              <c:f>'3.2'!$E$8:$E$9</c:f>
              <c:numCache>
                <c:formatCode>0.00</c:formatCode>
                <c:ptCount val="2"/>
                <c:pt idx="0">
                  <c:v>12.634986000000001</c:v>
                </c:pt>
                <c:pt idx="1">
                  <c:v>3.5597804627655365</c:v>
                </c:pt>
              </c:numCache>
            </c:numRef>
          </c:val>
        </c:ser>
        <c:ser>
          <c:idx val="3"/>
          <c:order val="3"/>
          <c:tx>
            <c:strRef>
              <c:f>'3.2'!$F$6</c:f>
              <c:strCache>
                <c:ptCount val="1"/>
                <c:pt idx="0">
                  <c:v>CO</c:v>
                </c:pt>
              </c:strCache>
            </c:strRef>
          </c:tx>
          <c:invertIfNegative val="0"/>
          <c:cat>
            <c:strRef>
              <c:f>'3.2'!$B$8:$B$9</c:f>
              <c:strCache>
                <c:ptCount val="2"/>
                <c:pt idx="0">
                  <c:v>Uncontrolled</c:v>
                </c:pt>
                <c:pt idx="1">
                  <c:v>Controlled</c:v>
                </c:pt>
              </c:strCache>
            </c:strRef>
          </c:cat>
          <c:val>
            <c:numRef>
              <c:f>'3.2'!$F$8:$F$9</c:f>
              <c:numCache>
                <c:formatCode>0.00</c:formatCode>
                <c:ptCount val="2"/>
                <c:pt idx="0">
                  <c:v>6.0890981599936831</c:v>
                </c:pt>
                <c:pt idx="1">
                  <c:v>6.0890981599936831</c:v>
                </c:pt>
              </c:numCache>
            </c:numRef>
          </c:val>
        </c:ser>
        <c:ser>
          <c:idx val="4"/>
          <c:order val="4"/>
          <c:tx>
            <c:strRef>
              <c:f>'3.2'!$K$6</c:f>
              <c:strCache>
                <c:ptCount val="1"/>
                <c:pt idx="0">
                  <c:v>VOC</c:v>
                </c:pt>
              </c:strCache>
            </c:strRef>
          </c:tx>
          <c:invertIfNegative val="0"/>
          <c:cat>
            <c:strRef>
              <c:f>'3.2'!$B$8:$B$9</c:f>
              <c:strCache>
                <c:ptCount val="2"/>
                <c:pt idx="0">
                  <c:v>Uncontrolled</c:v>
                </c:pt>
                <c:pt idx="1">
                  <c:v>Controlled</c:v>
                </c:pt>
              </c:strCache>
            </c:strRef>
          </c:cat>
          <c:val>
            <c:numRef>
              <c:f>'3.2'!$K$8:$K$9</c:f>
              <c:numCache>
                <c:formatCode>0.00</c:formatCode>
                <c:ptCount val="2"/>
                <c:pt idx="0">
                  <c:v>0.47829600000000005</c:v>
                </c:pt>
                <c:pt idx="1">
                  <c:v>0.47829600000000005</c:v>
                </c:pt>
              </c:numCache>
            </c:numRef>
          </c:val>
        </c:ser>
        <c:ser>
          <c:idx val="5"/>
          <c:order val="5"/>
          <c:tx>
            <c:strRef>
              <c:f>'3.2'!$L$6</c:f>
              <c:strCache>
                <c:ptCount val="1"/>
                <c:pt idx="0">
                  <c:v>HAP's</c:v>
                </c:pt>
              </c:strCache>
            </c:strRef>
          </c:tx>
          <c:invertIfNegative val="0"/>
          <c:cat>
            <c:strRef>
              <c:f>'3.2'!$B$8:$B$9</c:f>
              <c:strCache>
                <c:ptCount val="2"/>
                <c:pt idx="0">
                  <c:v>Uncontrolled</c:v>
                </c:pt>
                <c:pt idx="1">
                  <c:v>Controlled</c:v>
                </c:pt>
              </c:strCache>
            </c:strRef>
          </c:cat>
          <c:val>
            <c:numRef>
              <c:f>'3.2'!$L$8:$L$9</c:f>
              <c:numCache>
                <c:formatCode>0.00</c:formatCode>
                <c:ptCount val="2"/>
                <c:pt idx="0">
                  <c:v>0.31701109145979006</c:v>
                </c:pt>
                <c:pt idx="1">
                  <c:v>0.31701109145979006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969920"/>
        <c:axId val="165971456"/>
      </c:barChart>
      <c:catAx>
        <c:axId val="1659699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65971456"/>
        <c:crosses val="autoZero"/>
        <c:auto val="1"/>
        <c:lblAlgn val="ctr"/>
        <c:lblOffset val="100"/>
        <c:noMultiLvlLbl val="0"/>
      </c:catAx>
      <c:valAx>
        <c:axId val="1659714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659699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'5.2'!$B$8</c:f>
              <c:strCache>
                <c:ptCount val="1"/>
                <c:pt idx="0">
                  <c:v>Uncontrolled</c:v>
                </c:pt>
              </c:strCache>
            </c:strRef>
          </c:tx>
          <c:invertIfNegative val="0"/>
          <c:val>
            <c:numRef>
              <c:f>'5.2'!$K$8</c:f>
              <c:numCache>
                <c:formatCode>0.00</c:formatCode>
                <c:ptCount val="1"/>
                <c:pt idx="0">
                  <c:v>18.97035</c:v>
                </c:pt>
              </c:numCache>
            </c:numRef>
          </c:val>
        </c:ser>
        <c:ser>
          <c:idx val="1"/>
          <c:order val="1"/>
          <c:tx>
            <c:strRef>
              <c:f>'5.2'!$B$9</c:f>
              <c:strCache>
                <c:ptCount val="1"/>
                <c:pt idx="0">
                  <c:v>Controlled</c:v>
                </c:pt>
              </c:strCache>
            </c:strRef>
          </c:tx>
          <c:invertIfNegative val="0"/>
          <c:val>
            <c:numRef>
              <c:f>'5.2'!$K$9</c:f>
              <c:numCache>
                <c:formatCode>0.00</c:formatCode>
                <c:ptCount val="1"/>
                <c:pt idx="0">
                  <c:v>7.849800000000001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000128"/>
        <c:axId val="166001664"/>
      </c:barChart>
      <c:catAx>
        <c:axId val="166000128"/>
        <c:scaling>
          <c:orientation val="minMax"/>
        </c:scaling>
        <c:delete val="1"/>
        <c:axPos val="b"/>
        <c:majorTickMark val="out"/>
        <c:minorTickMark val="none"/>
        <c:tickLblPos val="nextTo"/>
        <c:crossAx val="166001664"/>
        <c:crosses val="autoZero"/>
        <c:auto val="1"/>
        <c:lblAlgn val="ctr"/>
        <c:lblOffset val="100"/>
        <c:noMultiLvlLbl val="0"/>
      </c:catAx>
      <c:valAx>
        <c:axId val="1660016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660001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Uncontrolled</c:v>
                </c:pt>
              </c:strCache>
            </c:strRef>
          </c:tx>
          <c:invertIfNegative val="0"/>
          <c:cat>
            <c:strRef>
              <c:f>Sheet1!$A$3</c:f>
              <c:strCache>
                <c:ptCount val="1"/>
                <c:pt idx="0">
                  <c:v>Storage Tanks</c:v>
                </c:pt>
              </c:strCache>
            </c:strRef>
          </c:cat>
          <c:val>
            <c:numRef>
              <c:f>Sheet1!$B$3</c:f>
              <c:numCache>
                <c:formatCode>0.00</c:formatCode>
                <c:ptCount val="1"/>
                <c:pt idx="0">
                  <c:v>44.196043947078103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Controlled</c:v>
                </c:pt>
              </c:strCache>
            </c:strRef>
          </c:tx>
          <c:invertIfNegative val="0"/>
          <c:cat>
            <c:strRef>
              <c:f>Sheet1!$A$3</c:f>
              <c:strCache>
                <c:ptCount val="1"/>
                <c:pt idx="0">
                  <c:v>Storage Tanks</c:v>
                </c:pt>
              </c:strCache>
            </c:strRef>
          </c:cat>
          <c:val>
            <c:numRef>
              <c:f>Sheet1!$C$3</c:f>
              <c:numCache>
                <c:formatCode>0.00</c:formatCode>
                <c:ptCount val="1"/>
                <c:pt idx="0">
                  <c:v>0.89394627894156287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680640"/>
        <c:axId val="165682176"/>
      </c:barChart>
      <c:catAx>
        <c:axId val="165680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5682176"/>
        <c:crosses val="autoZero"/>
        <c:auto val="1"/>
        <c:lblAlgn val="ctr"/>
        <c:lblOffset val="100"/>
        <c:noMultiLvlLbl val="0"/>
      </c:catAx>
      <c:valAx>
        <c:axId val="1656821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656806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'13.5'!$E$6</c:f>
              <c:strCache>
                <c:ptCount val="1"/>
                <c:pt idx="0">
                  <c:v>NOX</c:v>
                </c:pt>
              </c:strCache>
            </c:strRef>
          </c:tx>
          <c:invertIfNegative val="0"/>
          <c:cat>
            <c:strRef>
              <c:f>'13.5'!$B$9</c:f>
              <c:strCache>
                <c:ptCount val="1"/>
                <c:pt idx="0">
                  <c:v>Emissions</c:v>
                </c:pt>
              </c:strCache>
            </c:strRef>
          </c:cat>
          <c:val>
            <c:numRef>
              <c:f>'13.5'!$E$9</c:f>
              <c:numCache>
                <c:formatCode>0.00</c:formatCode>
                <c:ptCount val="1"/>
                <c:pt idx="0">
                  <c:v>0.5956800000000001</c:v>
                </c:pt>
              </c:numCache>
            </c:numRef>
          </c:val>
        </c:ser>
        <c:ser>
          <c:idx val="1"/>
          <c:order val="1"/>
          <c:tx>
            <c:strRef>
              <c:f>'13.5'!$F$6</c:f>
              <c:strCache>
                <c:ptCount val="1"/>
                <c:pt idx="0">
                  <c:v>CO</c:v>
                </c:pt>
              </c:strCache>
            </c:strRef>
          </c:tx>
          <c:invertIfNegative val="0"/>
          <c:cat>
            <c:strRef>
              <c:f>'13.5'!$B$9</c:f>
              <c:strCache>
                <c:ptCount val="1"/>
                <c:pt idx="0">
                  <c:v>Emissions</c:v>
                </c:pt>
              </c:strCache>
            </c:strRef>
          </c:cat>
          <c:val>
            <c:numRef>
              <c:f>'13.5'!$F$9</c:f>
              <c:numCache>
                <c:formatCode>0.00</c:formatCode>
                <c:ptCount val="1"/>
                <c:pt idx="0">
                  <c:v>3.2411999999999996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51456"/>
        <c:axId val="168052992"/>
      </c:barChart>
      <c:catAx>
        <c:axId val="1680514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168052992"/>
        <c:crosses val="autoZero"/>
        <c:auto val="1"/>
        <c:lblAlgn val="ctr"/>
        <c:lblOffset val="100"/>
        <c:noMultiLvlLbl val="0"/>
      </c:catAx>
      <c:valAx>
        <c:axId val="1680529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680514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Dehy!$B$8</c:f>
              <c:strCache>
                <c:ptCount val="1"/>
                <c:pt idx="0">
                  <c:v>Uncontrolled</c:v>
                </c:pt>
              </c:strCache>
            </c:strRef>
          </c:tx>
          <c:invertIfNegative val="0"/>
          <c:cat>
            <c:strRef>
              <c:f>Dehy!$K$6</c:f>
              <c:strCache>
                <c:ptCount val="1"/>
                <c:pt idx="0">
                  <c:v>VOC</c:v>
                </c:pt>
              </c:strCache>
            </c:strRef>
          </c:cat>
          <c:val>
            <c:numRef>
              <c:f>Dehy!$K$8</c:f>
              <c:numCache>
                <c:formatCode>0.00</c:formatCode>
                <c:ptCount val="1"/>
                <c:pt idx="0">
                  <c:v>46.351822222222218</c:v>
                </c:pt>
              </c:numCache>
            </c:numRef>
          </c:val>
        </c:ser>
        <c:ser>
          <c:idx val="1"/>
          <c:order val="1"/>
          <c:tx>
            <c:strRef>
              <c:f>Dehy!$B$9</c:f>
              <c:strCache>
                <c:ptCount val="1"/>
                <c:pt idx="0">
                  <c:v>Controlled</c:v>
                </c:pt>
              </c:strCache>
            </c:strRef>
          </c:tx>
          <c:invertIfNegative val="0"/>
          <c:cat>
            <c:strRef>
              <c:f>Dehy!$K$6</c:f>
              <c:strCache>
                <c:ptCount val="1"/>
                <c:pt idx="0">
                  <c:v>VOC</c:v>
                </c:pt>
              </c:strCache>
            </c:strRef>
          </c:cat>
          <c:val>
            <c:numRef>
              <c:f>Dehy!$K$9</c:f>
              <c:numCache>
                <c:formatCode>0.00</c:formatCode>
                <c:ptCount val="1"/>
                <c:pt idx="0">
                  <c:v>0.92703644444444522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62336"/>
        <c:axId val="168080512"/>
      </c:barChart>
      <c:catAx>
        <c:axId val="168062336"/>
        <c:scaling>
          <c:orientation val="minMax"/>
        </c:scaling>
        <c:delete val="1"/>
        <c:axPos val="b"/>
        <c:majorTickMark val="out"/>
        <c:minorTickMark val="none"/>
        <c:tickLblPos val="nextTo"/>
        <c:crossAx val="168080512"/>
        <c:crosses val="autoZero"/>
        <c:auto val="1"/>
        <c:lblAlgn val="ctr"/>
        <c:lblOffset val="100"/>
        <c:noMultiLvlLbl val="0"/>
      </c:catAx>
      <c:valAx>
        <c:axId val="1680805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6806233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Pneu!$B$8</c:f>
              <c:strCache>
                <c:ptCount val="1"/>
                <c:pt idx="0">
                  <c:v>Uncontrolled</c:v>
                </c:pt>
              </c:strCache>
            </c:strRef>
          </c:tx>
          <c:invertIfNegative val="0"/>
          <c:val>
            <c:numRef>
              <c:f>Pneu!$K$8</c:f>
              <c:numCache>
                <c:formatCode>0.00</c:formatCode>
                <c:ptCount val="1"/>
                <c:pt idx="0">
                  <c:v>21</c:v>
                </c:pt>
              </c:numCache>
            </c:numRef>
          </c:val>
        </c:ser>
        <c:ser>
          <c:idx val="1"/>
          <c:order val="1"/>
          <c:tx>
            <c:strRef>
              <c:f>Pneu!$B$9</c:f>
              <c:strCache>
                <c:ptCount val="1"/>
                <c:pt idx="0">
                  <c:v>Controlled</c:v>
                </c:pt>
              </c:strCache>
            </c:strRef>
          </c:tx>
          <c:invertIfNegative val="0"/>
          <c:val>
            <c:numRef>
              <c:f>Pneu!$K$9</c:f>
              <c:numCache>
                <c:formatCode>0.00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219008"/>
        <c:axId val="168220544"/>
      </c:barChart>
      <c:catAx>
        <c:axId val="168219008"/>
        <c:scaling>
          <c:orientation val="minMax"/>
        </c:scaling>
        <c:delete val="1"/>
        <c:axPos val="b"/>
        <c:majorTickMark val="out"/>
        <c:minorTickMark val="none"/>
        <c:tickLblPos val="nextTo"/>
        <c:crossAx val="168220544"/>
        <c:crosses val="autoZero"/>
        <c:auto val="1"/>
        <c:lblAlgn val="ctr"/>
        <c:lblOffset val="100"/>
        <c:noMultiLvlLbl val="0"/>
      </c:catAx>
      <c:valAx>
        <c:axId val="1682205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682190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Fug!$B$8</c:f>
              <c:strCache>
                <c:ptCount val="1"/>
                <c:pt idx="0">
                  <c:v>Uncontrolled</c:v>
                </c:pt>
              </c:strCache>
            </c:strRef>
          </c:tx>
          <c:invertIfNegative val="0"/>
          <c:val>
            <c:numRef>
              <c:f>Fug!$K$8</c:f>
              <c:numCache>
                <c:formatCode>0.00</c:formatCode>
                <c:ptCount val="1"/>
                <c:pt idx="0">
                  <c:v>7.7490079365079376</c:v>
                </c:pt>
              </c:numCache>
            </c:numRef>
          </c:val>
        </c:ser>
        <c:ser>
          <c:idx val="1"/>
          <c:order val="1"/>
          <c:tx>
            <c:strRef>
              <c:f>Fug!$B$9</c:f>
              <c:strCache>
                <c:ptCount val="1"/>
                <c:pt idx="0">
                  <c:v>Controlled</c:v>
                </c:pt>
              </c:strCache>
            </c:strRef>
          </c:tx>
          <c:invertIfNegative val="0"/>
          <c:val>
            <c:numRef>
              <c:f>Fug!$K$9</c:f>
              <c:numCache>
                <c:formatCode>0.00</c:formatCode>
                <c:ptCount val="1"/>
                <c:pt idx="0">
                  <c:v>0.16190839947089947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512128"/>
        <c:axId val="168530304"/>
      </c:barChart>
      <c:catAx>
        <c:axId val="168512128"/>
        <c:scaling>
          <c:orientation val="minMax"/>
        </c:scaling>
        <c:delete val="1"/>
        <c:axPos val="b"/>
        <c:majorTickMark val="out"/>
        <c:minorTickMark val="none"/>
        <c:tickLblPos val="nextTo"/>
        <c:crossAx val="168530304"/>
        <c:crosses val="autoZero"/>
        <c:auto val="1"/>
        <c:lblAlgn val="ctr"/>
        <c:lblOffset val="100"/>
        <c:noMultiLvlLbl val="0"/>
      </c:catAx>
      <c:valAx>
        <c:axId val="1685303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685121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Sheet1!$C$1</c:f>
              <c:strCache>
                <c:ptCount val="1"/>
                <c:pt idx="0">
                  <c:v>Controlled</c:v>
                </c:pt>
              </c:strCache>
            </c:strRef>
          </c:tx>
          <c:cat>
            <c:strRef>
              <c:f>Sheet1!$A$2:$A$9</c:f>
              <c:strCache>
                <c:ptCount val="8"/>
                <c:pt idx="0">
                  <c:v>Dehydrators</c:v>
                </c:pt>
                <c:pt idx="1">
                  <c:v>Storage Tanks</c:v>
                </c:pt>
                <c:pt idx="2">
                  <c:v>Pneumatics</c:v>
                </c:pt>
                <c:pt idx="3">
                  <c:v>Truck Loading</c:v>
                </c:pt>
                <c:pt idx="4">
                  <c:v>Fugitive Emissions</c:v>
                </c:pt>
                <c:pt idx="5">
                  <c:v>Pump Jack Engine</c:v>
                </c:pt>
                <c:pt idx="6">
                  <c:v>Heaters/Boilers</c:v>
                </c:pt>
                <c:pt idx="7">
                  <c:v>VOC Control Device</c:v>
                </c:pt>
              </c:strCache>
            </c:strRef>
          </c:cat>
          <c:val>
            <c:numRef>
              <c:f>Sheet1!$C$2:$C$9</c:f>
              <c:numCache>
                <c:formatCode>0.00</c:formatCode>
                <c:ptCount val="8"/>
                <c:pt idx="0">
                  <c:v>0.92703644444444522</c:v>
                </c:pt>
                <c:pt idx="1">
                  <c:v>0.89394627894156287</c:v>
                </c:pt>
                <c:pt idx="2">
                  <c:v>3</c:v>
                </c:pt>
                <c:pt idx="3">
                  <c:v>7.849800000000001</c:v>
                </c:pt>
                <c:pt idx="4">
                  <c:v>0.16190839947089947</c:v>
                </c:pt>
                <c:pt idx="5">
                  <c:v>0.47829600000000005</c:v>
                </c:pt>
                <c:pt idx="6">
                  <c:v>0.23617647058823529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453764992523348"/>
          <c:y val="0.2174705348143269"/>
          <c:w val="0.35312503267768819"/>
          <c:h val="0.7220929513088431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44823</xdr:colOff>
      <xdr:row>39</xdr:row>
      <xdr:rowOff>152400</xdr:rowOff>
    </xdr:from>
    <xdr:to>
      <xdr:col>13</xdr:col>
      <xdr:colOff>537883</xdr:colOff>
      <xdr:row>57</xdr:row>
      <xdr:rowOff>71718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29</xdr:row>
      <xdr:rowOff>9525</xdr:rowOff>
    </xdr:from>
    <xdr:to>
      <xdr:col>6</xdr:col>
      <xdr:colOff>66675</xdr:colOff>
      <xdr:row>45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11</xdr:row>
      <xdr:rowOff>85728</xdr:rowOff>
    </xdr:from>
    <xdr:to>
      <xdr:col>6</xdr:col>
      <xdr:colOff>95250</xdr:colOff>
      <xdr:row>28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11</xdr:row>
      <xdr:rowOff>104775</xdr:rowOff>
    </xdr:from>
    <xdr:to>
      <xdr:col>6</xdr:col>
      <xdr:colOff>466725</xdr:colOff>
      <xdr:row>28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7</xdr:row>
      <xdr:rowOff>57149</xdr:rowOff>
    </xdr:from>
    <xdr:to>
      <xdr:col>9</xdr:col>
      <xdr:colOff>352425</xdr:colOff>
      <xdr:row>29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44823</xdr:colOff>
      <xdr:row>34</xdr:row>
      <xdr:rowOff>6724</xdr:rowOff>
    </xdr:from>
    <xdr:to>
      <xdr:col>13</xdr:col>
      <xdr:colOff>381000</xdr:colOff>
      <xdr:row>51</xdr:row>
      <xdr:rowOff>82924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156882</xdr:colOff>
      <xdr:row>40</xdr:row>
      <xdr:rowOff>96371</xdr:rowOff>
    </xdr:from>
    <xdr:to>
      <xdr:col>7</xdr:col>
      <xdr:colOff>493058</xdr:colOff>
      <xdr:row>58</xdr:row>
      <xdr:rowOff>15689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571501</xdr:colOff>
      <xdr:row>31</xdr:row>
      <xdr:rowOff>123264</xdr:rowOff>
    </xdr:from>
    <xdr:to>
      <xdr:col>9</xdr:col>
      <xdr:colOff>280148</xdr:colOff>
      <xdr:row>49</xdr:row>
      <xdr:rowOff>42582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19</xdr:row>
          <xdr:rowOff>66675</xdr:rowOff>
        </xdr:from>
        <xdr:to>
          <xdr:col>5</xdr:col>
          <xdr:colOff>219075</xdr:colOff>
          <xdr:row>21</xdr:row>
          <xdr:rowOff>85725</xdr:rowOff>
        </xdr:to>
        <xdr:sp macro="" textlink="">
          <xdr:nvSpPr>
            <xdr:cNvPr id="20483" name="Object 3" hidden="1">
              <a:extLst>
                <a:ext uri="{63B3BB69-23CF-44E3-9099-C40C66FF867C}">
                  <a14:compatExt spid="_x0000_s20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23</xdr:row>
          <xdr:rowOff>28575</xdr:rowOff>
        </xdr:from>
        <xdr:to>
          <xdr:col>5</xdr:col>
          <xdr:colOff>190500</xdr:colOff>
          <xdr:row>25</xdr:row>
          <xdr:rowOff>47625</xdr:rowOff>
        </xdr:to>
        <xdr:sp macro="" textlink="">
          <xdr:nvSpPr>
            <xdr:cNvPr id="20485" name="Object 5" hidden="1">
              <a:extLst>
                <a:ext uri="{63B3BB69-23CF-44E3-9099-C40C66FF867C}">
                  <a14:compatExt spid="_x0000_s20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26</xdr:row>
          <xdr:rowOff>161925</xdr:rowOff>
        </xdr:from>
        <xdr:to>
          <xdr:col>4</xdr:col>
          <xdr:colOff>257175</xdr:colOff>
          <xdr:row>29</xdr:row>
          <xdr:rowOff>9525</xdr:rowOff>
        </xdr:to>
        <xdr:sp macro="" textlink="">
          <xdr:nvSpPr>
            <xdr:cNvPr id="20487" name="Object 7" hidden="1">
              <a:extLst>
                <a:ext uri="{63B3BB69-23CF-44E3-9099-C40C66FF867C}">
                  <a14:compatExt spid="_x0000_s20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31</xdr:row>
          <xdr:rowOff>85725</xdr:rowOff>
        </xdr:from>
        <xdr:to>
          <xdr:col>3</xdr:col>
          <xdr:colOff>209550</xdr:colOff>
          <xdr:row>32</xdr:row>
          <xdr:rowOff>133350</xdr:rowOff>
        </xdr:to>
        <xdr:sp macro="" textlink="">
          <xdr:nvSpPr>
            <xdr:cNvPr id="20489" name="Object 9" hidden="1">
              <a:extLst>
                <a:ext uri="{63B3BB69-23CF-44E3-9099-C40C66FF867C}">
                  <a14:compatExt spid="_x0000_s20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302558</xdr:colOff>
      <xdr:row>37</xdr:row>
      <xdr:rowOff>62753</xdr:rowOff>
    </xdr:from>
    <xdr:to>
      <xdr:col>8</xdr:col>
      <xdr:colOff>33617</xdr:colOff>
      <xdr:row>54</xdr:row>
      <xdr:rowOff>138953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235324</xdr:colOff>
      <xdr:row>29</xdr:row>
      <xdr:rowOff>107577</xdr:rowOff>
    </xdr:from>
    <xdr:to>
      <xdr:col>7</xdr:col>
      <xdr:colOff>571500</xdr:colOff>
      <xdr:row>47</xdr:row>
      <xdr:rowOff>26894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67234</xdr:colOff>
      <xdr:row>37</xdr:row>
      <xdr:rowOff>107575</xdr:rowOff>
    </xdr:from>
    <xdr:to>
      <xdr:col>7</xdr:col>
      <xdr:colOff>403410</xdr:colOff>
      <xdr:row>55</xdr:row>
      <xdr:rowOff>26893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54</xdr:row>
      <xdr:rowOff>40341</xdr:rowOff>
    </xdr:from>
    <xdr:to>
      <xdr:col>7</xdr:col>
      <xdr:colOff>414617</xdr:colOff>
      <xdr:row>71</xdr:row>
      <xdr:rowOff>116541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zoomScale="85" workbookViewId="0">
      <selection activeCell="A2" sqref="A2"/>
    </sheetView>
  </sheetViews>
  <sheetFormatPr defaultRowHeight="12.75" x14ac:dyDescent="0.2"/>
  <cols>
    <col min="1" max="1" width="9.42578125" bestFit="1" customWidth="1"/>
    <col min="2" max="2" width="46.85546875" bestFit="1" customWidth="1"/>
    <col min="3" max="13" width="6.85546875" customWidth="1"/>
    <col min="14" max="14" width="2.28515625" style="2" customWidth="1"/>
    <col min="15" max="24" width="6.85546875" customWidth="1"/>
  </cols>
  <sheetData>
    <row r="1" spans="1:24" ht="26.25" x14ac:dyDescent="0.4">
      <c r="A1" s="34" t="s">
        <v>295</v>
      </c>
      <c r="C1" s="34"/>
      <c r="D1" s="34"/>
      <c r="E1" s="34"/>
      <c r="F1" s="34"/>
      <c r="G1" s="34"/>
      <c r="H1" s="34"/>
      <c r="I1" s="34"/>
    </row>
    <row r="2" spans="1:24" x14ac:dyDescent="0.2">
      <c r="A2" t="s">
        <v>0</v>
      </c>
      <c r="B2" s="11" t="str">
        <f>'Controlled Emissions'!B2</f>
        <v>ABC Company</v>
      </c>
    </row>
    <row r="3" spans="1:24" x14ac:dyDescent="0.2">
      <c r="A3" t="s">
        <v>1</v>
      </c>
      <c r="B3" s="11" t="str">
        <f>'Controlled Emissions'!B3</f>
        <v>State of Utah</v>
      </c>
    </row>
    <row r="4" spans="1:24" x14ac:dyDescent="0.2">
      <c r="A4" t="s">
        <v>2</v>
      </c>
      <c r="B4" s="11" t="str">
        <f>'Controlled Emissions'!B4</f>
        <v>January 2014</v>
      </c>
    </row>
    <row r="5" spans="1:24" s="38" customFormat="1" x14ac:dyDescent="0.2">
      <c r="A5" s="39"/>
      <c r="N5" s="26"/>
    </row>
    <row r="6" spans="1:24" ht="46.5" x14ac:dyDescent="0.2">
      <c r="C6" s="48"/>
      <c r="H6" s="50" t="s">
        <v>77</v>
      </c>
      <c r="I6" s="50" t="s">
        <v>78</v>
      </c>
      <c r="N6" s="46"/>
      <c r="O6" s="55"/>
      <c r="P6" s="3"/>
      <c r="Q6" s="3"/>
      <c r="R6" s="3"/>
      <c r="S6" s="3"/>
      <c r="T6" s="50" t="s">
        <v>77</v>
      </c>
      <c r="U6" s="50" t="s">
        <v>78</v>
      </c>
      <c r="V6" s="3"/>
      <c r="W6" s="3"/>
      <c r="X6" s="58"/>
    </row>
    <row r="7" spans="1:24" ht="15.75" x14ac:dyDescent="0.3">
      <c r="A7" s="2"/>
      <c r="B7" s="2"/>
      <c r="C7" s="51" t="s">
        <v>6</v>
      </c>
      <c r="D7" s="52" t="s">
        <v>9</v>
      </c>
      <c r="E7" s="52" t="s">
        <v>10</v>
      </c>
      <c r="F7" s="52" t="s">
        <v>3</v>
      </c>
      <c r="G7" s="52" t="s">
        <v>11</v>
      </c>
      <c r="H7" s="52" t="s">
        <v>79</v>
      </c>
      <c r="I7" s="52" t="s">
        <v>79</v>
      </c>
      <c r="J7" s="52" t="s">
        <v>7</v>
      </c>
      <c r="K7" s="52" t="s">
        <v>4</v>
      </c>
      <c r="L7" s="52" t="s">
        <v>12</v>
      </c>
      <c r="M7" s="74" t="s">
        <v>129</v>
      </c>
      <c r="N7" s="46"/>
      <c r="O7" s="51" t="s">
        <v>6</v>
      </c>
      <c r="P7" s="52" t="s">
        <v>9</v>
      </c>
      <c r="Q7" s="52" t="s">
        <v>10</v>
      </c>
      <c r="R7" s="52" t="s">
        <v>3</v>
      </c>
      <c r="S7" s="52" t="s">
        <v>11</v>
      </c>
      <c r="T7" s="52" t="s">
        <v>79</v>
      </c>
      <c r="U7" s="52" t="s">
        <v>79</v>
      </c>
      <c r="V7" s="52" t="s">
        <v>7</v>
      </c>
      <c r="W7" s="52" t="s">
        <v>4</v>
      </c>
      <c r="X7" s="63" t="s">
        <v>12</v>
      </c>
    </row>
    <row r="8" spans="1:24" ht="13.5" thickBot="1" x14ac:dyDescent="0.25">
      <c r="A8" s="14" t="s">
        <v>117</v>
      </c>
      <c r="B8" s="14" t="s">
        <v>118</v>
      </c>
      <c r="C8" s="53" t="s">
        <v>14</v>
      </c>
      <c r="D8" s="15" t="s">
        <v>14</v>
      </c>
      <c r="E8" s="15" t="s">
        <v>14</v>
      </c>
      <c r="F8" s="15" t="s">
        <v>14</v>
      </c>
      <c r="G8" s="15" t="s">
        <v>14</v>
      </c>
      <c r="H8" s="15" t="s">
        <v>14</v>
      </c>
      <c r="I8" s="15" t="s">
        <v>14</v>
      </c>
      <c r="J8" s="15" t="s">
        <v>14</v>
      </c>
      <c r="K8" s="15" t="s">
        <v>14</v>
      </c>
      <c r="L8" s="15" t="s">
        <v>14</v>
      </c>
      <c r="M8" s="75" t="s">
        <v>14</v>
      </c>
      <c r="N8" s="46"/>
      <c r="O8" s="53" t="s">
        <v>15</v>
      </c>
      <c r="P8" s="15" t="s">
        <v>15</v>
      </c>
      <c r="Q8" s="15" t="s">
        <v>15</v>
      </c>
      <c r="R8" s="15" t="s">
        <v>15</v>
      </c>
      <c r="S8" s="15" t="s">
        <v>15</v>
      </c>
      <c r="T8" s="15" t="s">
        <v>15</v>
      </c>
      <c r="U8" s="15" t="s">
        <v>15</v>
      </c>
      <c r="V8" s="15" t="s">
        <v>15</v>
      </c>
      <c r="W8" s="15" t="s">
        <v>15</v>
      </c>
      <c r="X8" s="61" t="s">
        <v>15</v>
      </c>
    </row>
    <row r="9" spans="1:24" s="2" customFormat="1" x14ac:dyDescent="0.2">
      <c r="A9" s="23">
        <v>1.4</v>
      </c>
      <c r="B9" s="2" t="str">
        <f t="shared" ref="B9:B18" ca="1" si="0">INDIRECT(CONCATENATE("'",A9,"'!A1"))</f>
        <v>Heaters/Boilers</v>
      </c>
      <c r="C9" s="54">
        <f>'1.4'!C8</f>
        <v>0.32635294117647062</v>
      </c>
      <c r="D9" s="29">
        <f>'1.4'!D8</f>
        <v>2.5764705882352943E-2</v>
      </c>
      <c r="E9" s="29">
        <f>'1.4'!E8</f>
        <v>4.2941176470588234</v>
      </c>
      <c r="F9" s="29">
        <f>'1.4'!F8</f>
        <v>3.6070588235294117</v>
      </c>
      <c r="G9" s="29">
        <f>'1.4'!G8</f>
        <v>2.1470588235294119E-5</v>
      </c>
      <c r="H9" s="29"/>
      <c r="I9" s="29">
        <f>'1.4'!I8</f>
        <v>0.32635294117647062</v>
      </c>
      <c r="J9" s="29">
        <f>'1.4'!J8</f>
        <v>0.32635294117647062</v>
      </c>
      <c r="K9" s="29">
        <f>'1.4'!K8</f>
        <v>0.23617647058823529</v>
      </c>
      <c r="L9" s="29">
        <f>'1.4'!L8</f>
        <v>8.1114087411764707E-2</v>
      </c>
      <c r="M9" s="79">
        <f>'1.4'!M8</f>
        <v>5184.3011176470591</v>
      </c>
      <c r="N9" s="46"/>
      <c r="O9" s="54">
        <f>'1.4'!C13</f>
        <v>7.4509803921568626E-2</v>
      </c>
      <c r="P9" s="29">
        <f>'1.4'!D13</f>
        <v>5.8823529411764705E-3</v>
      </c>
      <c r="Q9" s="29">
        <f>'1.4'!E13</f>
        <v>0.98039215686274506</v>
      </c>
      <c r="R9" s="29">
        <f>'1.4'!F13</f>
        <v>0.82352941176470584</v>
      </c>
      <c r="S9" s="29">
        <f>'1.4'!G13</f>
        <v>4.9019607843137256E-6</v>
      </c>
      <c r="T9" s="29"/>
      <c r="U9" s="29">
        <f>'1.4'!I13</f>
        <v>7.4509803921568626E-2</v>
      </c>
      <c r="V9" s="29">
        <f>'1.4'!J13</f>
        <v>7.4509803921568626E-2</v>
      </c>
      <c r="W9" s="29">
        <f>'1.4'!K13</f>
        <v>5.3921568627450983E-2</v>
      </c>
      <c r="X9" s="59">
        <f>'1.4'!L13</f>
        <v>1.8519198039215683E-2</v>
      </c>
    </row>
    <row r="10" spans="1:24" x14ac:dyDescent="0.2">
      <c r="A10" s="17">
        <v>3.2</v>
      </c>
      <c r="B10" t="str">
        <f t="shared" ca="1" si="0"/>
        <v>Pumpjack Engine</v>
      </c>
      <c r="C10" s="54">
        <f>'3.2'!C8</f>
        <v>0.19255399799999998</v>
      </c>
      <c r="D10" s="29">
        <f>'3.2'!D8</f>
        <v>2.3436503999999998E-3</v>
      </c>
      <c r="E10" s="29">
        <f>'3.2'!E8</f>
        <v>12.634986000000001</v>
      </c>
      <c r="F10" s="29">
        <f>'3.2'!F8</f>
        <v>6.0890981599936831</v>
      </c>
      <c r="G10" s="29">
        <f>'3.2'!G8</f>
        <v>0</v>
      </c>
      <c r="H10" s="29"/>
      <c r="I10" s="29">
        <f>'3.2'!I8</f>
        <v>0.19255399799999998</v>
      </c>
      <c r="J10" s="29">
        <f>'3.2'!J8</f>
        <v>0.19255399799999998</v>
      </c>
      <c r="K10" s="29">
        <f>'3.2'!K8</f>
        <v>0.47829600000000005</v>
      </c>
      <c r="L10" s="29">
        <f>'3.2'!L8</f>
        <v>0.31701109145979006</v>
      </c>
      <c r="M10" s="79">
        <f>'3.2'!M8</f>
        <v>559.80561</v>
      </c>
      <c r="N10" s="46"/>
      <c r="O10" s="54">
        <f>'3.2'!C13</f>
        <v>4.3962099999999997E-2</v>
      </c>
      <c r="P10" s="29">
        <f>'3.2'!D13</f>
        <v>5.3507999999999995E-4</v>
      </c>
      <c r="Q10" s="29">
        <f>'3.2'!E13</f>
        <v>2.8847</v>
      </c>
      <c r="R10" s="29">
        <f>'3.2'!F13</f>
        <v>1.3902050593592883</v>
      </c>
      <c r="S10" s="29">
        <f>'3.2'!G13</f>
        <v>0</v>
      </c>
      <c r="T10" s="29"/>
      <c r="U10" s="29">
        <f>'3.2'!I13</f>
        <v>4.3962099999999997E-2</v>
      </c>
      <c r="V10" s="29">
        <f>'3.2'!J13</f>
        <v>4.3962099999999997E-2</v>
      </c>
      <c r="W10" s="29">
        <f>'3.2'!K13</f>
        <v>0.10920000000000001</v>
      </c>
      <c r="X10" s="59">
        <f>'3.2'!L13</f>
        <v>7.2376961520500022E-2</v>
      </c>
    </row>
    <row r="11" spans="1:24" x14ac:dyDescent="0.2">
      <c r="A11" s="17">
        <v>5.2</v>
      </c>
      <c r="B11" t="str">
        <f ca="1">INDIRECT(CONCATENATE("'",A11,"'!A1"))</f>
        <v>Truck Loading</v>
      </c>
      <c r="C11" s="54"/>
      <c r="D11" s="29"/>
      <c r="E11" s="29"/>
      <c r="F11" s="29"/>
      <c r="G11" s="80"/>
      <c r="H11" s="29"/>
      <c r="I11" s="29"/>
      <c r="J11" s="29"/>
      <c r="K11" s="29">
        <f>'5.2'!K8</f>
        <v>18.97035</v>
      </c>
      <c r="L11" s="29">
        <f>'5.2'!L8</f>
        <v>2.7582861143236808</v>
      </c>
      <c r="M11" s="79">
        <f>'5.2'!M8</f>
        <v>912.05579560833849</v>
      </c>
      <c r="N11" s="46"/>
      <c r="O11" s="54"/>
      <c r="P11" s="29"/>
      <c r="Q11" s="29"/>
      <c r="R11" s="29"/>
      <c r="S11" s="29"/>
      <c r="T11" s="29"/>
      <c r="U11" s="29"/>
      <c r="V11" s="29"/>
      <c r="W11" s="29">
        <f>'5.2'!K13</f>
        <v>4.3311301369863004</v>
      </c>
      <c r="X11" s="59">
        <f>'5.2'!L13</f>
        <v>0.62974568820175358</v>
      </c>
    </row>
    <row r="12" spans="1:24" x14ac:dyDescent="0.2">
      <c r="A12" s="17">
        <v>7.1</v>
      </c>
      <c r="B12" t="str">
        <f t="shared" ca="1" si="0"/>
        <v>Tank Working &amp; Breathing Losses</v>
      </c>
      <c r="C12" s="54"/>
      <c r="D12" s="29"/>
      <c r="E12" s="29"/>
      <c r="F12" s="29"/>
      <c r="G12" s="29"/>
      <c r="H12" s="29"/>
      <c r="I12" s="29"/>
      <c r="J12" s="29"/>
      <c r="K12" s="29">
        <f>'7.1'!K8</f>
        <v>10.5284</v>
      </c>
      <c r="L12" s="29">
        <f>'7.1'!L8</f>
        <v>1.5308278195207492</v>
      </c>
      <c r="M12" s="79">
        <f>'7.1'!M8</f>
        <v>506.18403131638735</v>
      </c>
      <c r="N12" s="46"/>
      <c r="O12" s="54"/>
      <c r="P12" s="29"/>
      <c r="Q12" s="29"/>
      <c r="R12" s="29"/>
      <c r="S12" s="29"/>
      <c r="T12" s="29"/>
      <c r="U12" s="29"/>
      <c r="V12" s="29"/>
      <c r="W12" s="29">
        <f>'7.1'!K13</f>
        <v>2.4037442922374428</v>
      </c>
      <c r="X12" s="59">
        <f>'7.1'!L13</f>
        <v>0.34950406838373266</v>
      </c>
    </row>
    <row r="13" spans="1:24" x14ac:dyDescent="0.2">
      <c r="A13" s="17" t="s">
        <v>161</v>
      </c>
      <c r="B13" t="str">
        <f t="shared" ca="1" si="0"/>
        <v>Tank Flashing Emissions</v>
      </c>
      <c r="C13" s="54"/>
      <c r="D13" s="29"/>
      <c r="E13" s="29"/>
      <c r="F13" s="29"/>
      <c r="G13" s="29"/>
      <c r="H13" s="29"/>
      <c r="I13" s="29"/>
      <c r="J13" s="29"/>
      <c r="K13" s="29">
        <f>'V-B'!K8</f>
        <v>33.657413947078105</v>
      </c>
      <c r="L13" s="29">
        <f>'V-B'!L8</f>
        <v>4.8937830632681916</v>
      </c>
      <c r="M13" s="79">
        <f>'V-B'!M8</f>
        <v>1618.1799205402913</v>
      </c>
      <c r="N13" s="46"/>
      <c r="O13" s="54"/>
      <c r="P13" s="29"/>
      <c r="Q13" s="29"/>
      <c r="R13" s="29"/>
      <c r="S13" s="29"/>
      <c r="T13" s="29"/>
      <c r="U13" s="29"/>
      <c r="V13" s="29"/>
      <c r="W13" s="29">
        <f>'V-B'!K13</f>
        <v>7.6843410838077872</v>
      </c>
      <c r="X13" s="59">
        <f>'V-B'!L13</f>
        <v>1.1173020692393132</v>
      </c>
    </row>
    <row r="14" spans="1:24" x14ac:dyDescent="0.2">
      <c r="A14" s="20" t="s">
        <v>191</v>
      </c>
      <c r="B14" t="str">
        <f ca="1">INDIRECT(CONCATENATE("'",A14,"'!A1"))</f>
        <v>Glycol &amp; Methanol Tanks</v>
      </c>
      <c r="C14" s="54"/>
      <c r="D14" s="29"/>
      <c r="E14" s="29"/>
      <c r="F14" s="29"/>
      <c r="G14" s="29"/>
      <c r="H14" s="29"/>
      <c r="I14" s="29"/>
      <c r="J14" s="29"/>
      <c r="K14" s="29">
        <f>'7.1a'!K8</f>
        <v>1.023E-2</v>
      </c>
      <c r="L14" s="29">
        <f>'7.1a'!L8</f>
        <v>1.023E-2</v>
      </c>
      <c r="M14" s="79">
        <f>'7.1a'!M8</f>
        <v>0</v>
      </c>
      <c r="N14" s="46"/>
      <c r="O14" s="54"/>
      <c r="P14" s="29"/>
      <c r="Q14" s="29"/>
      <c r="R14" s="29"/>
      <c r="S14" s="29"/>
      <c r="T14" s="29"/>
      <c r="U14" s="29"/>
      <c r="V14" s="29"/>
      <c r="W14" s="29">
        <f>'7.1a'!K13</f>
        <v>2.3356164383561647E-3</v>
      </c>
      <c r="X14" s="59">
        <f>'7.1a'!L13</f>
        <v>2.3356164383561647E-3</v>
      </c>
    </row>
    <row r="15" spans="1:24" x14ac:dyDescent="0.2">
      <c r="A15" s="17">
        <v>13.5</v>
      </c>
      <c r="B15" t="str">
        <f t="shared" ca="1" si="0"/>
        <v>Flares</v>
      </c>
      <c r="C15" s="54"/>
      <c r="D15" s="29"/>
      <c r="E15" s="29">
        <f>'13.5'!E8</f>
        <v>0</v>
      </c>
      <c r="F15" s="29">
        <f>'13.5'!F8</f>
        <v>0</v>
      </c>
      <c r="G15" s="29"/>
      <c r="H15" s="29"/>
      <c r="I15" s="29"/>
      <c r="J15" s="29"/>
      <c r="K15" s="29"/>
      <c r="L15" s="29"/>
      <c r="M15" s="79">
        <f>'13.5'!M8</f>
        <v>0</v>
      </c>
      <c r="N15" s="47"/>
      <c r="O15" s="54"/>
      <c r="P15" s="29"/>
      <c r="Q15" s="29">
        <f>'13.5'!E13</f>
        <v>0</v>
      </c>
      <c r="R15" s="29">
        <f>'13.5'!F13</f>
        <v>0</v>
      </c>
      <c r="S15" s="29"/>
      <c r="T15" s="29"/>
      <c r="U15" s="29"/>
      <c r="V15" s="29"/>
      <c r="W15" s="29"/>
      <c r="X15" s="59"/>
    </row>
    <row r="16" spans="1:24" x14ac:dyDescent="0.2">
      <c r="A16" s="130" t="s">
        <v>214</v>
      </c>
      <c r="B16" t="str">
        <f t="shared" ca="1" si="0"/>
        <v>Dehydrators</v>
      </c>
      <c r="C16" s="54"/>
      <c r="D16" s="29"/>
      <c r="E16" s="29"/>
      <c r="F16" s="29"/>
      <c r="G16" s="29"/>
      <c r="H16" s="29"/>
      <c r="I16" s="29"/>
      <c r="J16" s="29"/>
      <c r="K16" s="29">
        <f>Dehy!K8</f>
        <v>46.351822222222218</v>
      </c>
      <c r="L16" s="29">
        <f>Dehy!L8</f>
        <v>20.531337777777779</v>
      </c>
      <c r="M16" s="79">
        <f>Dehy!M8</f>
        <v>328.79945000000004</v>
      </c>
      <c r="N16" s="47"/>
      <c r="O16" s="54"/>
      <c r="P16" s="29"/>
      <c r="Q16" s="29"/>
      <c r="R16" s="29"/>
      <c r="S16" s="29"/>
      <c r="T16" s="29"/>
      <c r="U16" s="29"/>
      <c r="V16" s="29"/>
      <c r="W16" s="29">
        <f>Dehy!K13</f>
        <v>10.582607813292745</v>
      </c>
      <c r="X16" s="59">
        <f>Dehy!L13</f>
        <v>4.6875200405885336</v>
      </c>
    </row>
    <row r="17" spans="1:24" x14ac:dyDescent="0.2">
      <c r="A17" s="130" t="s">
        <v>260</v>
      </c>
      <c r="B17" t="str">
        <f t="shared" ca="1" si="0"/>
        <v>Pneumatic Devices</v>
      </c>
      <c r="C17" s="54"/>
      <c r="D17" s="29"/>
      <c r="E17" s="29"/>
      <c r="F17" s="29"/>
      <c r="G17" s="29"/>
      <c r="H17" s="29"/>
      <c r="I17" s="29"/>
      <c r="J17" s="29"/>
      <c r="K17" s="29">
        <f>Pneu!K8</f>
        <v>21</v>
      </c>
      <c r="L17" s="29">
        <f>Pneu!L8</f>
        <v>3.0533969273522787</v>
      </c>
      <c r="M17" s="79">
        <f>Pneu!M8</f>
        <v>1009.6372343038007</v>
      </c>
      <c r="N17" s="47"/>
      <c r="O17" s="54"/>
      <c r="P17" s="29"/>
      <c r="Q17" s="29"/>
      <c r="R17" s="29"/>
      <c r="S17" s="29"/>
      <c r="T17" s="29"/>
      <c r="U17" s="29"/>
      <c r="V17" s="29"/>
      <c r="W17" s="29">
        <f>Pneu!K13</f>
        <v>4.7945205479452051</v>
      </c>
      <c r="X17" s="59">
        <f>Pneu!L13</f>
        <v>0.69712258615348821</v>
      </c>
    </row>
    <row r="18" spans="1:24" x14ac:dyDescent="0.2">
      <c r="A18" s="20" t="s">
        <v>189</v>
      </c>
      <c r="B18" t="str">
        <f t="shared" ca="1" si="0"/>
        <v>Fugitive Emissions</v>
      </c>
      <c r="C18" s="54"/>
      <c r="D18" s="29"/>
      <c r="E18" s="29"/>
      <c r="F18" s="29"/>
      <c r="G18" s="29"/>
      <c r="H18" s="29"/>
      <c r="I18" s="29"/>
      <c r="J18" s="29"/>
      <c r="K18" s="29">
        <f>Fug!K8</f>
        <v>7.7490079365079376</v>
      </c>
      <c r="L18" s="29">
        <f>Fug!L8</f>
        <v>1.1267046201600839</v>
      </c>
      <c r="M18" s="79">
        <f>Fug!M8</f>
        <v>372.26763568875396</v>
      </c>
      <c r="N18" s="47"/>
      <c r="O18" s="54"/>
      <c r="P18" s="29"/>
      <c r="Q18" s="29"/>
      <c r="R18" s="29"/>
      <c r="S18" s="29"/>
      <c r="T18" s="29"/>
      <c r="U18" s="29"/>
      <c r="V18" s="29"/>
      <c r="W18" s="29">
        <f>Fug!K13</f>
        <v>1.7691798941798944</v>
      </c>
      <c r="X18" s="59">
        <f>Fug!L13</f>
        <v>0.25723849775344376</v>
      </c>
    </row>
    <row r="19" spans="1:24" ht="13.5" thickBot="1" x14ac:dyDescent="0.25">
      <c r="C19" s="56"/>
      <c r="D19" s="60"/>
      <c r="E19" s="60"/>
      <c r="F19" s="60"/>
      <c r="G19" s="60"/>
      <c r="H19" s="60"/>
      <c r="I19" s="60"/>
      <c r="J19" s="60"/>
      <c r="K19" s="60"/>
      <c r="L19" s="60"/>
      <c r="M19" s="85"/>
      <c r="N19" s="47"/>
      <c r="O19" s="56"/>
      <c r="P19" s="60"/>
      <c r="Q19" s="60"/>
      <c r="R19" s="60"/>
      <c r="S19" s="60"/>
      <c r="T19" s="60"/>
      <c r="U19" s="60"/>
      <c r="V19" s="60"/>
      <c r="W19" s="60"/>
      <c r="X19" s="81"/>
    </row>
    <row r="20" spans="1:24" ht="13.5" thickBot="1" x14ac:dyDescent="0.25">
      <c r="B20" t="s">
        <v>294</v>
      </c>
      <c r="C20" s="82">
        <f t="shared" ref="C20:M20" si="1">SUM(C9:C19)</f>
        <v>0.51890693917647057</v>
      </c>
      <c r="D20" s="82">
        <f t="shared" si="1"/>
        <v>2.8108356282352944E-2</v>
      </c>
      <c r="E20" s="82">
        <f t="shared" si="1"/>
        <v>16.929103647058824</v>
      </c>
      <c r="F20" s="82">
        <f t="shared" si="1"/>
        <v>9.6961569835230943</v>
      </c>
      <c r="G20" s="83">
        <f t="shared" si="1"/>
        <v>2.1470588235294119E-5</v>
      </c>
      <c r="H20" s="83">
        <f t="shared" si="1"/>
        <v>0</v>
      </c>
      <c r="I20" s="82">
        <f t="shared" si="1"/>
        <v>0.51890693917647057</v>
      </c>
      <c r="J20" s="82">
        <f t="shared" si="1"/>
        <v>0.51890693917647057</v>
      </c>
      <c r="K20" s="82">
        <f t="shared" si="1"/>
        <v>138.9816965763965</v>
      </c>
      <c r="L20" s="82">
        <f t="shared" si="1"/>
        <v>34.302691501274317</v>
      </c>
      <c r="M20" s="86">
        <f t="shared" si="1"/>
        <v>10491.230795104631</v>
      </c>
      <c r="N20" s="84"/>
      <c r="O20" s="82">
        <f t="shared" ref="O20:X20" si="2">SUM(O9:O19)</f>
        <v>0.11847190392156862</v>
      </c>
      <c r="P20" s="82">
        <f t="shared" si="2"/>
        <v>6.4174329411764708E-3</v>
      </c>
      <c r="Q20" s="82">
        <f t="shared" si="2"/>
        <v>3.8650921568627452</v>
      </c>
      <c r="R20" s="82">
        <f t="shared" si="2"/>
        <v>2.2137344711239941</v>
      </c>
      <c r="S20" s="82">
        <f t="shared" si="2"/>
        <v>4.9019607843137256E-6</v>
      </c>
      <c r="T20" s="82">
        <f t="shared" si="2"/>
        <v>0</v>
      </c>
      <c r="U20" s="82">
        <f t="shared" si="2"/>
        <v>0.11847190392156862</v>
      </c>
      <c r="V20" s="82">
        <f t="shared" si="2"/>
        <v>0.11847190392156862</v>
      </c>
      <c r="W20" s="82">
        <f t="shared" si="2"/>
        <v>31.730980953515182</v>
      </c>
      <c r="X20" s="82">
        <f t="shared" si="2"/>
        <v>7.8316647263183379</v>
      </c>
    </row>
    <row r="21" spans="1:24" x14ac:dyDescent="0.2">
      <c r="C21" s="40"/>
      <c r="I21" s="40"/>
      <c r="L21" s="2"/>
      <c r="M21" s="2"/>
      <c r="N21" s="49"/>
      <c r="O21" s="49"/>
    </row>
    <row r="25" spans="1:24" x14ac:dyDescent="0.2">
      <c r="D25" s="40"/>
    </row>
    <row r="27" spans="1:24" x14ac:dyDescent="0.2">
      <c r="D27" s="40"/>
    </row>
  </sheetData>
  <pageMargins left="0.75" right="0.75" top="1" bottom="1" header="0.5" footer="0.5"/>
  <pageSetup scale="6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opLeftCell="A25" zoomScale="85" workbookViewId="0">
      <selection activeCell="B10" sqref="B10"/>
    </sheetView>
  </sheetViews>
  <sheetFormatPr defaultRowHeight="12.75" x14ac:dyDescent="0.2"/>
  <sheetData>
    <row r="1" spans="1:19" ht="26.25" x14ac:dyDescent="0.4">
      <c r="A1" s="34" t="s">
        <v>186</v>
      </c>
      <c r="B1" s="34"/>
      <c r="C1" s="34"/>
      <c r="D1" s="34"/>
      <c r="E1" s="34"/>
      <c r="F1" s="34"/>
      <c r="G1" s="34"/>
      <c r="H1" s="34"/>
    </row>
    <row r="2" spans="1:19" x14ac:dyDescent="0.2">
      <c r="A2" t="s">
        <v>0</v>
      </c>
      <c r="B2" s="11" t="str">
        <f>'Controlled Emissions'!B2</f>
        <v>ABC Company</v>
      </c>
      <c r="C2" s="11"/>
    </row>
    <row r="3" spans="1:19" ht="12.75" customHeight="1" x14ac:dyDescent="0.2">
      <c r="A3" t="s">
        <v>1</v>
      </c>
      <c r="B3" s="11" t="str">
        <f>'Controlled Emissions'!B3</f>
        <v>State of Utah</v>
      </c>
      <c r="C3" s="11"/>
    </row>
    <row r="4" spans="1:19" x14ac:dyDescent="0.2">
      <c r="A4" t="s">
        <v>2</v>
      </c>
      <c r="B4" s="11" t="str">
        <f>'Controlled Emissions'!B4</f>
        <v>January 2014</v>
      </c>
      <c r="C4" s="11"/>
    </row>
    <row r="6" spans="1:19" s="2" customFormat="1" ht="15.75" x14ac:dyDescent="0.3">
      <c r="B6"/>
      <c r="C6" s="67" t="s">
        <v>6</v>
      </c>
      <c r="D6" s="68" t="s">
        <v>9</v>
      </c>
      <c r="E6" s="68" t="s">
        <v>10</v>
      </c>
      <c r="F6" s="68" t="s">
        <v>3</v>
      </c>
      <c r="G6" s="68" t="s">
        <v>11</v>
      </c>
      <c r="H6" s="68" t="s">
        <v>119</v>
      </c>
      <c r="I6" s="68" t="s">
        <v>120</v>
      </c>
      <c r="J6" s="68" t="s">
        <v>7</v>
      </c>
      <c r="K6" s="68" t="s">
        <v>4</v>
      </c>
      <c r="L6" s="68" t="s">
        <v>12</v>
      </c>
      <c r="M6" s="74" t="s">
        <v>129</v>
      </c>
    </row>
    <row r="7" spans="1:19" s="2" customFormat="1" ht="13.5" thickBot="1" x14ac:dyDescent="0.25">
      <c r="B7"/>
      <c r="C7" s="65" t="s">
        <v>14</v>
      </c>
      <c r="D7" s="22" t="s">
        <v>14</v>
      </c>
      <c r="E7" s="22" t="s">
        <v>14</v>
      </c>
      <c r="F7" s="22" t="s">
        <v>14</v>
      </c>
      <c r="G7" s="22" t="s">
        <v>14</v>
      </c>
      <c r="H7" s="22" t="s">
        <v>14</v>
      </c>
      <c r="I7" s="22" t="s">
        <v>14</v>
      </c>
      <c r="J7" s="22" t="s">
        <v>14</v>
      </c>
      <c r="K7" s="22" t="s">
        <v>14</v>
      </c>
      <c r="L7" s="22" t="s">
        <v>14</v>
      </c>
      <c r="M7" s="75" t="s">
        <v>14</v>
      </c>
    </row>
    <row r="8" spans="1:19" x14ac:dyDescent="0.2">
      <c r="B8" s="23" t="s">
        <v>5</v>
      </c>
      <c r="C8" s="62"/>
      <c r="D8" s="36"/>
      <c r="E8" s="36">
        <v>0</v>
      </c>
      <c r="F8" s="36">
        <v>0</v>
      </c>
      <c r="G8" s="36"/>
      <c r="H8" s="36"/>
      <c r="I8" s="36"/>
      <c r="J8" s="36"/>
      <c r="K8" s="36"/>
      <c r="L8" s="36"/>
      <c r="M8" s="78">
        <v>0</v>
      </c>
    </row>
    <row r="9" spans="1:19" x14ac:dyDescent="0.2">
      <c r="B9" s="23" t="s">
        <v>298</v>
      </c>
      <c r="C9" s="54"/>
      <c r="D9" s="29"/>
      <c r="E9" s="29">
        <f>F21</f>
        <v>0.5956800000000001</v>
      </c>
      <c r="F9" s="29">
        <f>F22</f>
        <v>3.2411999999999996</v>
      </c>
      <c r="G9" s="29"/>
      <c r="H9" s="29"/>
      <c r="I9" s="29"/>
      <c r="J9" s="29"/>
      <c r="K9" s="29"/>
      <c r="L9" s="29"/>
      <c r="M9" s="79">
        <f>E29</f>
        <v>25.754400000000004</v>
      </c>
    </row>
    <row r="10" spans="1:19" x14ac:dyDescent="0.2">
      <c r="O10" s="2"/>
      <c r="P10" s="43"/>
      <c r="Q10" s="49"/>
      <c r="R10" s="2"/>
      <c r="S10" s="2"/>
    </row>
    <row r="11" spans="1:19" ht="15.75" x14ac:dyDescent="0.3">
      <c r="C11" s="67" t="s">
        <v>6</v>
      </c>
      <c r="D11" s="68" t="s">
        <v>9</v>
      </c>
      <c r="E11" s="68" t="s">
        <v>10</v>
      </c>
      <c r="F11" s="68" t="s">
        <v>3</v>
      </c>
      <c r="G11" s="68" t="s">
        <v>11</v>
      </c>
      <c r="H11" s="68" t="s">
        <v>119</v>
      </c>
      <c r="I11" s="68" t="s">
        <v>120</v>
      </c>
      <c r="J11" s="68" t="s">
        <v>7</v>
      </c>
      <c r="K11" s="68" t="s">
        <v>4</v>
      </c>
      <c r="L11" s="69" t="s">
        <v>12</v>
      </c>
      <c r="O11" s="2"/>
      <c r="P11" s="43"/>
      <c r="Q11" s="49"/>
      <c r="R11" s="2"/>
      <c r="S11" s="2"/>
    </row>
    <row r="12" spans="1:19" ht="13.5" thickBot="1" x14ac:dyDescent="0.25">
      <c r="C12" s="65" t="s">
        <v>15</v>
      </c>
      <c r="D12" s="22" t="s">
        <v>15</v>
      </c>
      <c r="E12" s="22" t="s">
        <v>15</v>
      </c>
      <c r="F12" s="22" t="s">
        <v>15</v>
      </c>
      <c r="G12" s="22" t="s">
        <v>15</v>
      </c>
      <c r="H12" s="22" t="s">
        <v>15</v>
      </c>
      <c r="I12" s="22" t="s">
        <v>15</v>
      </c>
      <c r="J12" s="22" t="s">
        <v>15</v>
      </c>
      <c r="K12" s="22" t="s">
        <v>15</v>
      </c>
      <c r="L12" s="66" t="s">
        <v>15</v>
      </c>
      <c r="O12" s="2"/>
      <c r="P12" s="43"/>
      <c r="Q12" s="49"/>
      <c r="R12" s="2"/>
      <c r="S12" s="2"/>
    </row>
    <row r="13" spans="1:19" x14ac:dyDescent="0.2">
      <c r="C13" s="62"/>
      <c r="D13" s="36"/>
      <c r="E13" s="36">
        <v>0</v>
      </c>
      <c r="F13" s="36">
        <v>0</v>
      </c>
      <c r="G13" s="36"/>
      <c r="H13" s="36"/>
      <c r="I13" s="36"/>
      <c r="J13" s="36"/>
      <c r="K13" s="36"/>
      <c r="L13" s="57"/>
      <c r="O13" s="2"/>
      <c r="P13" s="43"/>
      <c r="Q13" s="49"/>
      <c r="R13" s="2"/>
      <c r="S13" s="2"/>
    </row>
    <row r="14" spans="1:19" x14ac:dyDescent="0.2">
      <c r="C14" s="54"/>
      <c r="D14" s="29"/>
      <c r="E14" s="29">
        <f>E21</f>
        <v>0.13600000000000001</v>
      </c>
      <c r="F14" s="29">
        <f>E22</f>
        <v>0.74</v>
      </c>
      <c r="G14" s="29"/>
      <c r="H14" s="29"/>
      <c r="I14" s="29"/>
      <c r="J14" s="29"/>
      <c r="K14" s="29"/>
      <c r="L14" s="59"/>
      <c r="O14" s="2"/>
      <c r="P14" s="43"/>
      <c r="Q14" s="49"/>
      <c r="R14" s="2"/>
      <c r="S14" s="2"/>
    </row>
    <row r="16" spans="1:19" x14ac:dyDescent="0.2">
      <c r="C16" s="8" t="s">
        <v>133</v>
      </c>
    </row>
    <row r="17" spans="2:12" x14ac:dyDescent="0.2">
      <c r="C17" s="10">
        <v>8760</v>
      </c>
      <c r="D17" s="2" t="s">
        <v>8</v>
      </c>
    </row>
    <row r="18" spans="2:12" x14ac:dyDescent="0.2">
      <c r="C18" s="71">
        <v>2</v>
      </c>
      <c r="D18" s="2" t="s">
        <v>125</v>
      </c>
      <c r="L18" s="40"/>
    </row>
    <row r="19" spans="2:12" x14ac:dyDescent="0.2">
      <c r="L19" s="40"/>
    </row>
    <row r="20" spans="2:12" x14ac:dyDescent="0.2">
      <c r="D20" s="2" t="s">
        <v>72</v>
      </c>
      <c r="E20" s="2" t="s">
        <v>18</v>
      </c>
      <c r="F20" s="27" t="s">
        <v>13</v>
      </c>
      <c r="G20" t="s">
        <v>132</v>
      </c>
    </row>
    <row r="21" spans="2:12" ht="15.75" x14ac:dyDescent="0.3">
      <c r="C21" s="1" t="s">
        <v>10</v>
      </c>
      <c r="D21" s="33">
        <v>6.8000000000000005E-2</v>
      </c>
      <c r="E21" s="70">
        <f>D21*$C$18</f>
        <v>0.13600000000000001</v>
      </c>
      <c r="F21" s="111">
        <f t="shared" ref="F21:F28" si="0">E21*$C$17/2000</f>
        <v>0.5956800000000001</v>
      </c>
    </row>
    <row r="22" spans="2:12" x14ac:dyDescent="0.2">
      <c r="C22" s="1" t="s">
        <v>3</v>
      </c>
      <c r="D22" s="33">
        <v>0.37</v>
      </c>
      <c r="E22" s="70">
        <f>D22*$C$18</f>
        <v>0.74</v>
      </c>
      <c r="F22" s="111">
        <f t="shared" si="0"/>
        <v>3.2411999999999996</v>
      </c>
    </row>
    <row r="23" spans="2:12" ht="15.75" x14ac:dyDescent="0.3">
      <c r="C23" s="1" t="s">
        <v>6</v>
      </c>
      <c r="D23" s="33"/>
      <c r="E23" s="70"/>
      <c r="F23" s="111"/>
    </row>
    <row r="24" spans="2:12" ht="15.75" x14ac:dyDescent="0.3">
      <c r="C24" s="1" t="s">
        <v>7</v>
      </c>
      <c r="D24" s="33"/>
      <c r="E24" s="70"/>
      <c r="F24" s="111"/>
    </row>
    <row r="25" spans="2:12" ht="15.75" x14ac:dyDescent="0.3">
      <c r="C25" s="1" t="s">
        <v>9</v>
      </c>
      <c r="D25" s="33"/>
      <c r="E25" s="70"/>
      <c r="F25" s="111"/>
    </row>
    <row r="26" spans="2:12" x14ac:dyDescent="0.2">
      <c r="B26" s="114">
        <v>0</v>
      </c>
      <c r="C26" s="1" t="s">
        <v>4</v>
      </c>
      <c r="D26" s="33">
        <v>0.14000000000000001</v>
      </c>
      <c r="E26" s="70">
        <f>D26*$C$18*B26</f>
        <v>0</v>
      </c>
      <c r="F26" s="111">
        <f t="shared" si="0"/>
        <v>0</v>
      </c>
    </row>
    <row r="27" spans="2:12" ht="15.75" x14ac:dyDescent="0.3">
      <c r="B27" s="92">
        <v>1</v>
      </c>
      <c r="C27" s="76" t="s">
        <v>126</v>
      </c>
      <c r="D27" s="110"/>
      <c r="E27" s="77">
        <f>D27*$C$18*B27</f>
        <v>0</v>
      </c>
      <c r="F27" s="112">
        <f t="shared" si="0"/>
        <v>0</v>
      </c>
    </row>
    <row r="28" spans="2:12" ht="15.75" x14ac:dyDescent="0.3">
      <c r="B28" s="92">
        <v>21</v>
      </c>
      <c r="C28" s="76" t="s">
        <v>127</v>
      </c>
      <c r="D28" s="116">
        <f>D26*(1-$B$26)</f>
        <v>0.14000000000000001</v>
      </c>
      <c r="E28" s="77">
        <f>D28*$C$18*B28</f>
        <v>5.8800000000000008</v>
      </c>
      <c r="F28" s="112">
        <f t="shared" si="0"/>
        <v>25.754400000000004</v>
      </c>
    </row>
    <row r="29" spans="2:12" ht="15.75" x14ac:dyDescent="0.3">
      <c r="C29" s="76" t="s">
        <v>129</v>
      </c>
      <c r="E29" s="247">
        <f>SUM(F27:F28)</f>
        <v>25.754400000000004</v>
      </c>
      <c r="F29" s="251"/>
    </row>
    <row r="30" spans="2:12" x14ac:dyDescent="0.2">
      <c r="C30" s="32" t="s">
        <v>21</v>
      </c>
      <c r="D30" s="113">
        <f>$E$36</f>
        <v>0</v>
      </c>
      <c r="E30" s="70">
        <f>$F$36</f>
        <v>0</v>
      </c>
      <c r="F30" s="111">
        <f>$G$36</f>
        <v>0</v>
      </c>
    </row>
    <row r="32" spans="2:12" ht="13.5" thickBot="1" x14ac:dyDescent="0.25">
      <c r="B32" s="14"/>
      <c r="C32" s="13" t="s">
        <v>12</v>
      </c>
      <c r="D32" s="14" t="s">
        <v>72</v>
      </c>
      <c r="E32" s="15" t="s">
        <v>19</v>
      </c>
      <c r="F32" s="15" t="s">
        <v>18</v>
      </c>
      <c r="G32" s="15" t="s">
        <v>13</v>
      </c>
      <c r="H32" t="s">
        <v>132</v>
      </c>
    </row>
    <row r="33" spans="3:7" x14ac:dyDescent="0.2">
      <c r="C33" s="17"/>
      <c r="D33" s="94"/>
      <c r="E33" s="109">
        <f>F33*$C$17</f>
        <v>0</v>
      </c>
      <c r="F33" s="45">
        <f>D33*C18</f>
        <v>0</v>
      </c>
      <c r="G33" s="45">
        <f>E33/2000</f>
        <v>0</v>
      </c>
    </row>
    <row r="34" spans="3:7" x14ac:dyDescent="0.2">
      <c r="C34" s="17"/>
      <c r="D34" s="94"/>
      <c r="E34" s="109">
        <f>F34*$C$17</f>
        <v>0</v>
      </c>
      <c r="F34" s="45">
        <f>D34*C19</f>
        <v>0</v>
      </c>
      <c r="G34" s="45">
        <f>E34/2000</f>
        <v>0</v>
      </c>
    </row>
    <row r="35" spans="3:7" x14ac:dyDescent="0.2">
      <c r="E35" s="25"/>
      <c r="F35" s="25"/>
      <c r="G35" s="25"/>
    </row>
    <row r="36" spans="3:7" x14ac:dyDescent="0.2">
      <c r="E36" s="12">
        <f>SUM(E33:E35)</f>
        <v>0</v>
      </c>
      <c r="F36" s="12">
        <f>SUM(F33:F35)</f>
        <v>0</v>
      </c>
      <c r="G36" s="12">
        <f>SUM(G33:G35)</f>
        <v>0</v>
      </c>
    </row>
  </sheetData>
  <mergeCells count="1">
    <mergeCell ref="E29:F29"/>
  </mergeCells>
  <phoneticPr fontId="8" type="noConversion"/>
  <pageMargins left="0.75" right="0.75" top="1" bottom="1" header="0.5" footer="0.5"/>
  <pageSetup scale="76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="85" workbookViewId="0">
      <selection activeCell="K22" sqref="K22"/>
    </sheetView>
  </sheetViews>
  <sheetFormatPr defaultRowHeight="12.75" x14ac:dyDescent="0.2"/>
  <cols>
    <col min="1" max="1" width="9" customWidth="1"/>
  </cols>
  <sheetData>
    <row r="1" spans="1:20" ht="26.25" x14ac:dyDescent="0.4">
      <c r="A1" s="34" t="s">
        <v>213</v>
      </c>
      <c r="B1" s="34"/>
      <c r="C1" s="34"/>
      <c r="D1" s="34"/>
      <c r="E1" s="34"/>
      <c r="F1" s="34"/>
      <c r="L1" s="2"/>
      <c r="M1" s="2"/>
    </row>
    <row r="2" spans="1:20" x14ac:dyDescent="0.2">
      <c r="A2" t="s">
        <v>0</v>
      </c>
      <c r="B2" s="11" t="str">
        <f>'Controlled Emissions'!B2</f>
        <v>ABC Company</v>
      </c>
      <c r="C2" s="11"/>
    </row>
    <row r="3" spans="1:20" ht="12.75" customHeight="1" x14ac:dyDescent="0.2">
      <c r="A3" t="s">
        <v>1</v>
      </c>
      <c r="B3" s="11" t="str">
        <f>'Controlled Emissions'!B3</f>
        <v>State of Utah</v>
      </c>
      <c r="C3" s="11"/>
    </row>
    <row r="4" spans="1:20" x14ac:dyDescent="0.2">
      <c r="A4" t="s">
        <v>2</v>
      </c>
      <c r="B4" s="11" t="str">
        <f>'Controlled Emissions'!B4</f>
        <v>January 2014</v>
      </c>
      <c r="C4" s="11"/>
    </row>
    <row r="6" spans="1:20" s="2" customFormat="1" ht="15.75" x14ac:dyDescent="0.3">
      <c r="B6"/>
      <c r="C6" s="67" t="s">
        <v>6</v>
      </c>
      <c r="D6" s="68" t="s">
        <v>9</v>
      </c>
      <c r="E6" s="68" t="s">
        <v>10</v>
      </c>
      <c r="F6" s="68" t="s">
        <v>3</v>
      </c>
      <c r="G6" s="68" t="s">
        <v>11</v>
      </c>
      <c r="H6" s="68" t="s">
        <v>119</v>
      </c>
      <c r="I6" s="68" t="s">
        <v>120</v>
      </c>
      <c r="J6" s="68" t="s">
        <v>7</v>
      </c>
      <c r="K6" s="68" t="s">
        <v>4</v>
      </c>
      <c r="L6" s="68" t="s">
        <v>12</v>
      </c>
      <c r="M6" s="74" t="s">
        <v>129</v>
      </c>
    </row>
    <row r="7" spans="1:20" s="2" customFormat="1" ht="13.5" thickBot="1" x14ac:dyDescent="0.25">
      <c r="B7"/>
      <c r="C7" s="65" t="s">
        <v>14</v>
      </c>
      <c r="D7" s="22" t="s">
        <v>14</v>
      </c>
      <c r="E7" s="22" t="s">
        <v>14</v>
      </c>
      <c r="F7" s="22" t="s">
        <v>14</v>
      </c>
      <c r="G7" s="22" t="s">
        <v>14</v>
      </c>
      <c r="H7" s="22" t="s">
        <v>14</v>
      </c>
      <c r="I7" s="22" t="s">
        <v>14</v>
      </c>
      <c r="J7" s="22" t="s">
        <v>14</v>
      </c>
      <c r="K7" s="22" t="s">
        <v>14</v>
      </c>
      <c r="L7" s="22" t="s">
        <v>14</v>
      </c>
      <c r="M7" s="75" t="s">
        <v>14</v>
      </c>
    </row>
    <row r="8" spans="1:20" x14ac:dyDescent="0.2">
      <c r="B8" s="23" t="s">
        <v>5</v>
      </c>
      <c r="C8" s="54"/>
      <c r="D8" s="29"/>
      <c r="E8" s="29"/>
      <c r="F8" s="29"/>
      <c r="G8" s="29"/>
      <c r="H8" s="29"/>
      <c r="I8" s="29"/>
      <c r="J8" s="29"/>
      <c r="K8" s="29">
        <f>K9/(1-B19)</f>
        <v>46.351822222222218</v>
      </c>
      <c r="L8" s="29">
        <f>L9/(1-B19)</f>
        <v>20.531337777777779</v>
      </c>
      <c r="M8" s="78">
        <f>M9/(1-B19)</f>
        <v>328.79945000000004</v>
      </c>
    </row>
    <row r="9" spans="1:20" x14ac:dyDescent="0.2">
      <c r="B9" s="23" t="s">
        <v>199</v>
      </c>
      <c r="C9" s="54"/>
      <c r="D9" s="29"/>
      <c r="E9" s="29"/>
      <c r="F9" s="29"/>
      <c r="G9" s="29"/>
      <c r="H9" s="29"/>
      <c r="I9" s="29"/>
      <c r="J9" s="29"/>
      <c r="K9" s="29">
        <f>$H$17</f>
        <v>0.92703644444444522</v>
      </c>
      <c r="L9" s="29">
        <f>$H$18</f>
        <v>0.41062675555555594</v>
      </c>
      <c r="M9" s="79">
        <f>H27</f>
        <v>6.5759890000000061</v>
      </c>
    </row>
    <row r="10" spans="1:20" x14ac:dyDescent="0.2">
      <c r="O10" s="2"/>
      <c r="P10" s="43"/>
      <c r="Q10" s="49"/>
      <c r="R10" s="2"/>
      <c r="S10" s="2"/>
    </row>
    <row r="11" spans="1:20" ht="15.75" x14ac:dyDescent="0.3">
      <c r="C11" s="67" t="s">
        <v>6</v>
      </c>
      <c r="D11" s="68" t="s">
        <v>9</v>
      </c>
      <c r="E11" s="68" t="s">
        <v>10</v>
      </c>
      <c r="F11" s="68" t="s">
        <v>3</v>
      </c>
      <c r="G11" s="68" t="s">
        <v>11</v>
      </c>
      <c r="H11" s="68" t="s">
        <v>119</v>
      </c>
      <c r="I11" s="68" t="s">
        <v>120</v>
      </c>
      <c r="J11" s="68" t="s">
        <v>7</v>
      </c>
      <c r="K11" s="68" t="s">
        <v>4</v>
      </c>
      <c r="L11" s="69" t="s">
        <v>12</v>
      </c>
      <c r="O11" s="2"/>
      <c r="P11" s="43"/>
      <c r="Q11" s="49"/>
      <c r="R11" s="2"/>
      <c r="S11" s="2"/>
    </row>
    <row r="12" spans="1:20" ht="13.5" thickBot="1" x14ac:dyDescent="0.25">
      <c r="C12" s="65" t="s">
        <v>15</v>
      </c>
      <c r="D12" s="22" t="s">
        <v>15</v>
      </c>
      <c r="E12" s="22" t="s">
        <v>15</v>
      </c>
      <c r="F12" s="22" t="s">
        <v>15</v>
      </c>
      <c r="G12" s="22" t="s">
        <v>15</v>
      </c>
      <c r="H12" s="22" t="s">
        <v>15</v>
      </c>
      <c r="I12" s="22" t="s">
        <v>15</v>
      </c>
      <c r="J12" s="22" t="s">
        <v>15</v>
      </c>
      <c r="K12" s="22" t="s">
        <v>15</v>
      </c>
      <c r="L12" s="66" t="s">
        <v>15</v>
      </c>
      <c r="O12" s="2"/>
      <c r="P12" s="43"/>
      <c r="Q12" s="49"/>
      <c r="R12" s="2"/>
      <c r="S12" s="2"/>
    </row>
    <row r="13" spans="1:20" x14ac:dyDescent="0.2">
      <c r="C13" s="54"/>
      <c r="D13" s="29"/>
      <c r="E13" s="29"/>
      <c r="F13" s="29"/>
      <c r="G13" s="29"/>
      <c r="H13" s="29"/>
      <c r="I13" s="29"/>
      <c r="J13" s="29"/>
      <c r="K13" s="29">
        <f>K14/(1-B19)</f>
        <v>10.582607813292745</v>
      </c>
      <c r="L13" s="59">
        <f>L14/(1-B19)</f>
        <v>4.6875200405885336</v>
      </c>
      <c r="O13" s="2"/>
      <c r="P13" s="43"/>
      <c r="Q13" s="49"/>
      <c r="R13" s="2"/>
      <c r="S13" s="2"/>
    </row>
    <row r="14" spans="1:20" x14ac:dyDescent="0.2">
      <c r="C14" s="54"/>
      <c r="D14" s="29"/>
      <c r="E14" s="29"/>
      <c r="F14" s="29"/>
      <c r="G14" s="29"/>
      <c r="H14" s="29"/>
      <c r="I14" s="29"/>
      <c r="J14" s="29"/>
      <c r="K14" s="29">
        <f>$G$17</f>
        <v>0.21165215626585507</v>
      </c>
      <c r="L14" s="59">
        <f>$G$18</f>
        <v>9.3750400811770759E-2</v>
      </c>
      <c r="O14" s="2"/>
      <c r="P14" s="43"/>
      <c r="Q14" s="49"/>
      <c r="R14" s="2"/>
      <c r="S14" s="2"/>
    </row>
    <row r="15" spans="1:20" x14ac:dyDescent="0.2">
      <c r="T15" s="2"/>
    </row>
    <row r="16" spans="1:20" x14ac:dyDescent="0.2">
      <c r="B16" s="133" t="s">
        <v>215</v>
      </c>
      <c r="F16" s="2"/>
      <c r="G16" t="s">
        <v>29</v>
      </c>
      <c r="H16" t="s">
        <v>13</v>
      </c>
      <c r="Q16" s="2"/>
    </row>
    <row r="17" spans="2:10" x14ac:dyDescent="0.2">
      <c r="B17" s="71">
        <v>2</v>
      </c>
      <c r="C17" s="152" t="s">
        <v>253</v>
      </c>
      <c r="F17" s="1" t="s">
        <v>4</v>
      </c>
      <c r="G17" s="70">
        <f>H17*2000/8760</f>
        <v>0.21165215626585507</v>
      </c>
      <c r="H17" s="70">
        <f>'Gas Analysis'!B24</f>
        <v>0.92703644444444522</v>
      </c>
    </row>
    <row r="18" spans="2:10" x14ac:dyDescent="0.2">
      <c r="F18" s="123" t="s">
        <v>188</v>
      </c>
      <c r="G18" s="70">
        <f>H18*2000/8760</f>
        <v>9.3750400811770759E-2</v>
      </c>
      <c r="H18" s="70">
        <f>'Gas Analysis'!B25</f>
        <v>0.41062675555555594</v>
      </c>
    </row>
    <row r="19" spans="2:10" s="37" customFormat="1" x14ac:dyDescent="0.2">
      <c r="B19" s="125">
        <f>'7.1'!F22</f>
        <v>0.98</v>
      </c>
      <c r="C19" t="s">
        <v>176</v>
      </c>
      <c r="F19"/>
      <c r="G19"/>
      <c r="H19"/>
    </row>
    <row r="20" spans="2:10" s="37" customFormat="1" x14ac:dyDescent="0.2">
      <c r="F20" s="195" t="s">
        <v>50</v>
      </c>
      <c r="G20" s="70">
        <f t="shared" ref="G20:G25" si="0">H20*2000/8760</f>
        <v>2.7292947742262836E-2</v>
      </c>
      <c r="H20" s="70">
        <f>'Gas Analysis'!B26</f>
        <v>0.11954311111111121</v>
      </c>
      <c r="J20" s="139"/>
    </row>
    <row r="21" spans="2:10" s="37" customFormat="1" x14ac:dyDescent="0.2">
      <c r="F21" s="195" t="s">
        <v>55</v>
      </c>
      <c r="G21" s="70">
        <f t="shared" si="0"/>
        <v>3.0300192795535291E-2</v>
      </c>
      <c r="H21" s="70">
        <f>'Gas Analysis'!B27</f>
        <v>0.13271484444444456</v>
      </c>
      <c r="J21" s="139"/>
    </row>
    <row r="22" spans="2:10" s="37" customFormat="1" x14ac:dyDescent="0.2">
      <c r="F22" s="195" t="s">
        <v>217</v>
      </c>
      <c r="G22" s="70">
        <f t="shared" si="0"/>
        <v>1.6881988838153238E-3</v>
      </c>
      <c r="H22" s="70">
        <f>'Gas Analysis'!B28</f>
        <v>7.3943111111111183E-3</v>
      </c>
      <c r="J22" s="139"/>
    </row>
    <row r="23" spans="2:10" s="37" customFormat="1" x14ac:dyDescent="0.2">
      <c r="F23" s="195" t="s">
        <v>115</v>
      </c>
      <c r="G23" s="70">
        <f t="shared" si="0"/>
        <v>2.6258346017250151E-2</v>
      </c>
      <c r="H23" s="70">
        <f>'Gas Analysis'!B29</f>
        <v>0.11501155555555566</v>
      </c>
      <c r="J23" s="139"/>
    </row>
    <row r="24" spans="2:10" s="37" customFormat="1" x14ac:dyDescent="0.2">
      <c r="F24" s="196" t="s">
        <v>238</v>
      </c>
      <c r="G24" s="70">
        <f t="shared" si="0"/>
        <v>2.7492643328259794E-4</v>
      </c>
      <c r="H24" s="70">
        <f>'Gas Analysis'!B31</f>
        <v>1.2041777777777789E-3</v>
      </c>
      <c r="J24" s="139"/>
    </row>
    <row r="25" spans="2:10" s="37" customFormat="1" x14ac:dyDescent="0.2">
      <c r="F25" s="195" t="s">
        <v>108</v>
      </c>
      <c r="G25" s="70">
        <f t="shared" si="0"/>
        <v>7.9357889396245631E-3</v>
      </c>
      <c r="H25" s="70">
        <f>'Gas Analysis'!B30</f>
        <v>3.475875555555559E-2</v>
      </c>
      <c r="J25" s="139"/>
    </row>
    <row r="26" spans="2:10" s="37" customFormat="1" x14ac:dyDescent="0.2">
      <c r="F26"/>
      <c r="G26"/>
      <c r="H26"/>
      <c r="J26" s="139"/>
    </row>
    <row r="27" spans="2:10" s="37" customFormat="1" x14ac:dyDescent="0.2">
      <c r="F27" s="123" t="s">
        <v>190</v>
      </c>
      <c r="G27" s="70">
        <f>H27*2000/8760</f>
        <v>1.5013673515981749</v>
      </c>
      <c r="H27" s="24">
        <f>SUM(H29:H29)</f>
        <v>6.5759890000000061</v>
      </c>
      <c r="J27" s="139"/>
    </row>
    <row r="28" spans="2:10" s="37" customFormat="1" x14ac:dyDescent="0.2">
      <c r="F28"/>
      <c r="G28"/>
      <c r="H28"/>
      <c r="J28" s="139"/>
    </row>
    <row r="29" spans="2:10" s="37" customFormat="1" x14ac:dyDescent="0.2">
      <c r="F29" s="123" t="s">
        <v>218</v>
      </c>
      <c r="G29" s="70">
        <f>H29*2000/8760</f>
        <v>1.5013673515981749</v>
      </c>
      <c r="H29" s="70">
        <f>'Gas Analysis'!B32*21</f>
        <v>6.5759890000000061</v>
      </c>
      <c r="J29" s="139"/>
    </row>
    <row r="30" spans="2:10" s="37" customFormat="1" x14ac:dyDescent="0.2">
      <c r="F30"/>
      <c r="G30"/>
      <c r="H30"/>
      <c r="J30" s="139"/>
    </row>
    <row r="31" spans="2:10" s="37" customFormat="1" x14ac:dyDescent="0.2">
      <c r="F31" s="7"/>
      <c r="G31" s="7"/>
      <c r="H31" s="7"/>
      <c r="I31" s="139"/>
      <c r="J31" s="139"/>
    </row>
    <row r="47" ht="12" customHeight="1" x14ac:dyDescent="0.2"/>
  </sheetData>
  <pageMargins left="0.75" right="0.75" top="1" bottom="1" header="0.5" footer="0.5"/>
  <pageSetup scale="7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zoomScale="85" workbookViewId="0">
      <selection activeCell="K8" activeCellId="1" sqref="B8:B9 K8:K9"/>
    </sheetView>
  </sheetViews>
  <sheetFormatPr defaultRowHeight="12.75" x14ac:dyDescent="0.2"/>
  <sheetData>
    <row r="1" spans="1:13" ht="26.25" x14ac:dyDescent="0.4">
      <c r="A1" s="34" t="s">
        <v>259</v>
      </c>
      <c r="B1" s="34"/>
      <c r="C1" s="34"/>
      <c r="D1" s="34"/>
      <c r="E1" s="34"/>
      <c r="F1" s="34"/>
      <c r="G1" s="34"/>
      <c r="H1" s="34"/>
      <c r="I1" s="34"/>
      <c r="J1" s="34"/>
    </row>
    <row r="2" spans="1:13" x14ac:dyDescent="0.2">
      <c r="A2" t="s">
        <v>0</v>
      </c>
      <c r="B2" s="11" t="str">
        <f>'Controlled Emissions'!B2</f>
        <v>ABC Company</v>
      </c>
      <c r="C2" s="11"/>
      <c r="D2" s="37"/>
      <c r="E2" s="37"/>
      <c r="F2" s="37"/>
    </row>
    <row r="3" spans="1:13" ht="12.75" customHeight="1" x14ac:dyDescent="0.2">
      <c r="A3" t="s">
        <v>1</v>
      </c>
      <c r="B3" s="11" t="str">
        <f>'Controlled Emissions'!B3</f>
        <v>State of Utah</v>
      </c>
      <c r="C3" s="11"/>
      <c r="D3" s="37"/>
      <c r="E3" s="37"/>
      <c r="F3" s="37"/>
    </row>
    <row r="4" spans="1:13" x14ac:dyDescent="0.2">
      <c r="A4" t="s">
        <v>2</v>
      </c>
      <c r="B4" s="11" t="str">
        <f>'Controlled Emissions'!B4</f>
        <v>January 2014</v>
      </c>
      <c r="C4" s="11"/>
      <c r="D4" s="37"/>
      <c r="E4" s="37"/>
      <c r="F4" s="37"/>
    </row>
    <row r="6" spans="1:13" s="2" customFormat="1" ht="15.75" x14ac:dyDescent="0.3">
      <c r="B6"/>
      <c r="C6" s="67" t="s">
        <v>6</v>
      </c>
      <c r="D6" s="68" t="s">
        <v>9</v>
      </c>
      <c r="E6" s="68" t="s">
        <v>10</v>
      </c>
      <c r="F6" s="68" t="s">
        <v>3</v>
      </c>
      <c r="G6" s="68" t="s">
        <v>11</v>
      </c>
      <c r="H6" s="68" t="s">
        <v>119</v>
      </c>
      <c r="I6" s="68" t="s">
        <v>120</v>
      </c>
      <c r="J6" s="68" t="s">
        <v>7</v>
      </c>
      <c r="K6" s="68" t="s">
        <v>4</v>
      </c>
      <c r="L6" s="68" t="s">
        <v>12</v>
      </c>
      <c r="M6" s="74" t="s">
        <v>129</v>
      </c>
    </row>
    <row r="7" spans="1:13" s="2" customFormat="1" ht="13.5" thickBot="1" x14ac:dyDescent="0.25">
      <c r="B7"/>
      <c r="C7" s="65" t="s">
        <v>14</v>
      </c>
      <c r="D7" s="22" t="s">
        <v>14</v>
      </c>
      <c r="E7" s="22" t="s">
        <v>14</v>
      </c>
      <c r="F7" s="22" t="s">
        <v>14</v>
      </c>
      <c r="G7" s="22" t="s">
        <v>14</v>
      </c>
      <c r="H7" s="22" t="s">
        <v>14</v>
      </c>
      <c r="I7" s="22" t="s">
        <v>14</v>
      </c>
      <c r="J7" s="22" t="s">
        <v>14</v>
      </c>
      <c r="K7" s="22" t="s">
        <v>14</v>
      </c>
      <c r="L7" s="22" t="s">
        <v>14</v>
      </c>
      <c r="M7" s="75" t="s">
        <v>14</v>
      </c>
    </row>
    <row r="8" spans="1:13" x14ac:dyDescent="0.2">
      <c r="B8" s="23" t="s">
        <v>5</v>
      </c>
      <c r="C8" s="62"/>
      <c r="D8" s="36"/>
      <c r="E8" s="36"/>
      <c r="F8" s="36"/>
      <c r="G8" s="36"/>
      <c r="H8" s="36"/>
      <c r="I8" s="36"/>
      <c r="J8" s="36"/>
      <c r="K8" s="36">
        <f>E24</f>
        <v>21</v>
      </c>
      <c r="L8" s="36">
        <f>E25</f>
        <v>3.0533969273522787</v>
      </c>
      <c r="M8" s="78">
        <f>E34</f>
        <v>1009.6372343038007</v>
      </c>
    </row>
    <row r="9" spans="1:13" x14ac:dyDescent="0.2">
      <c r="B9" s="23" t="s">
        <v>199</v>
      </c>
      <c r="C9" s="54"/>
      <c r="D9" s="29"/>
      <c r="E9" s="29"/>
      <c r="F9" s="29"/>
      <c r="G9" s="29"/>
      <c r="H9" s="29"/>
      <c r="I9" s="29"/>
      <c r="J9" s="29"/>
      <c r="K9" s="29">
        <f>G24</f>
        <v>3</v>
      </c>
      <c r="L9" s="29">
        <f>G25</f>
        <v>0.43619956105032553</v>
      </c>
      <c r="M9" s="79">
        <f>G34</f>
        <v>144.23389061482871</v>
      </c>
    </row>
    <row r="10" spans="1:13" x14ac:dyDescent="0.2">
      <c r="J10" s="49"/>
      <c r="K10" s="2"/>
      <c r="L10" s="2"/>
    </row>
    <row r="11" spans="1:13" ht="15.75" x14ac:dyDescent="0.3">
      <c r="C11" s="67" t="s">
        <v>6</v>
      </c>
      <c r="D11" s="68" t="s">
        <v>9</v>
      </c>
      <c r="E11" s="68" t="s">
        <v>10</v>
      </c>
      <c r="F11" s="68" t="s">
        <v>3</v>
      </c>
      <c r="G11" s="68" t="s">
        <v>11</v>
      </c>
      <c r="H11" s="68" t="s">
        <v>119</v>
      </c>
      <c r="I11" s="68" t="s">
        <v>120</v>
      </c>
      <c r="J11" s="68" t="s">
        <v>7</v>
      </c>
      <c r="K11" s="68" t="s">
        <v>4</v>
      </c>
      <c r="L11" s="69" t="s">
        <v>12</v>
      </c>
    </row>
    <row r="12" spans="1:13" ht="13.5" thickBot="1" x14ac:dyDescent="0.25">
      <c r="C12" s="65" t="s">
        <v>15</v>
      </c>
      <c r="D12" s="22" t="s">
        <v>15</v>
      </c>
      <c r="E12" s="22" t="s">
        <v>15</v>
      </c>
      <c r="F12" s="22" t="s">
        <v>15</v>
      </c>
      <c r="G12" s="22" t="s">
        <v>15</v>
      </c>
      <c r="H12" s="22" t="s">
        <v>15</v>
      </c>
      <c r="I12" s="22" t="s">
        <v>15</v>
      </c>
      <c r="J12" s="22" t="s">
        <v>15</v>
      </c>
      <c r="K12" s="22" t="s">
        <v>15</v>
      </c>
      <c r="L12" s="66" t="s">
        <v>15</v>
      </c>
    </row>
    <row r="13" spans="1:13" x14ac:dyDescent="0.2">
      <c r="C13" s="62"/>
      <c r="D13" s="36"/>
      <c r="E13" s="36"/>
      <c r="F13" s="36"/>
      <c r="G13" s="36"/>
      <c r="H13" s="36"/>
      <c r="I13" s="36"/>
      <c r="J13" s="36"/>
      <c r="K13" s="36">
        <f>D24</f>
        <v>4.7945205479452051</v>
      </c>
      <c r="L13" s="57">
        <f>D25</f>
        <v>0.69712258615348821</v>
      </c>
    </row>
    <row r="14" spans="1:13" x14ac:dyDescent="0.2">
      <c r="C14" s="54"/>
      <c r="D14" s="29"/>
      <c r="E14" s="29"/>
      <c r="F14" s="29"/>
      <c r="G14" s="29"/>
      <c r="H14" s="29"/>
      <c r="I14" s="29"/>
      <c r="J14" s="29"/>
      <c r="K14" s="29">
        <f>F24</f>
        <v>0.68493150684931503</v>
      </c>
      <c r="L14" s="59">
        <f>F25</f>
        <v>9.9588940879069748E-2</v>
      </c>
    </row>
    <row r="15" spans="1:13" x14ac:dyDescent="0.2">
      <c r="C15" s="23"/>
      <c r="D15" s="49"/>
      <c r="E15" s="49"/>
      <c r="F15" s="49"/>
      <c r="G15" s="49"/>
      <c r="H15" s="49"/>
      <c r="I15" s="49"/>
      <c r="K15" s="2"/>
    </row>
    <row r="17" spans="2:8" x14ac:dyDescent="0.2">
      <c r="B17" s="10">
        <v>10</v>
      </c>
      <c r="C17" s="133" t="s">
        <v>254</v>
      </c>
      <c r="G17" s="205">
        <v>20</v>
      </c>
      <c r="H17" s="133" t="s">
        <v>258</v>
      </c>
    </row>
    <row r="19" spans="2:8" x14ac:dyDescent="0.2">
      <c r="C19" s="130" t="s">
        <v>255</v>
      </c>
      <c r="D19" s="10">
        <v>42</v>
      </c>
      <c r="E19" s="133" t="s">
        <v>257</v>
      </c>
      <c r="H19" s="133"/>
    </row>
    <row r="20" spans="2:8" x14ac:dyDescent="0.2">
      <c r="C20" s="130" t="s">
        <v>256</v>
      </c>
      <c r="D20" s="10">
        <v>6</v>
      </c>
      <c r="E20" s="133" t="s">
        <v>257</v>
      </c>
    </row>
    <row r="22" spans="2:8" x14ac:dyDescent="0.2">
      <c r="D22" s="252" t="s">
        <v>5</v>
      </c>
      <c r="E22" s="252"/>
      <c r="F22" s="252" t="s">
        <v>199</v>
      </c>
      <c r="G22" s="252"/>
    </row>
    <row r="23" spans="2:8" x14ac:dyDescent="0.2">
      <c r="C23" s="2"/>
      <c r="D23" t="s">
        <v>29</v>
      </c>
      <c r="E23" t="s">
        <v>13</v>
      </c>
      <c r="F23" t="s">
        <v>29</v>
      </c>
      <c r="G23" t="s">
        <v>13</v>
      </c>
    </row>
    <row r="24" spans="2:8" x14ac:dyDescent="0.2">
      <c r="C24" s="207" t="s">
        <v>4</v>
      </c>
      <c r="D24" s="24">
        <f>E24*2000/8760</f>
        <v>4.7945205479452051</v>
      </c>
      <c r="E24" s="24">
        <f>$B$17*D19/$G$17</f>
        <v>21</v>
      </c>
      <c r="F24" s="24">
        <f>G24*2000/8760</f>
        <v>0.68493150684931503</v>
      </c>
      <c r="G24" s="24">
        <f>$B$17*D20/$G$17</f>
        <v>3</v>
      </c>
    </row>
    <row r="25" spans="2:8" x14ac:dyDescent="0.2">
      <c r="C25" s="206" t="s">
        <v>188</v>
      </c>
      <c r="D25" s="24">
        <f>SUM(D27:D32)</f>
        <v>0.69712258615348821</v>
      </c>
      <c r="E25" s="24">
        <f>SUM(E27:E32)</f>
        <v>3.0533969273522787</v>
      </c>
      <c r="F25" s="24">
        <f>SUM(F27:F32)</f>
        <v>9.9588940879069748E-2</v>
      </c>
      <c r="G25" s="24">
        <f>SUM(G27:G32)</f>
        <v>0.43619956105032553</v>
      </c>
    </row>
    <row r="27" spans="2:8" x14ac:dyDescent="0.2">
      <c r="C27" s="195" t="s">
        <v>50</v>
      </c>
      <c r="D27" s="24">
        <f>$D$24*'Gas Analysis'!$B$7</f>
        <v>8.7306357025833337E-2</v>
      </c>
      <c r="E27" s="24">
        <f>D27*8760/2000</f>
        <v>0.38240184377315001</v>
      </c>
      <c r="F27" s="24">
        <f>$F$24*'Gas Analysis'!$B$7</f>
        <v>1.2472336717976191E-2</v>
      </c>
      <c r="G27" s="24">
        <f>F27*8760/2000</f>
        <v>5.4628834824735718E-2</v>
      </c>
    </row>
    <row r="28" spans="2:8" x14ac:dyDescent="0.2">
      <c r="C28" s="195" t="s">
        <v>55</v>
      </c>
      <c r="D28" s="24">
        <f>$D$24*'Gas Analysis'!$B$8</f>
        <v>4.4989327719627402E-2</v>
      </c>
      <c r="E28" s="24">
        <f t="shared" ref="E28:E31" si="0">D28*8760/2000</f>
        <v>0.19705325541196803</v>
      </c>
      <c r="F28" s="24">
        <f>$F$24*'Gas Analysis'!$B$8</f>
        <v>6.4270468170896291E-3</v>
      </c>
      <c r="G28" s="24">
        <f t="shared" ref="G28:G31" si="1">F28*8760/2000</f>
        <v>2.8150465058852575E-2</v>
      </c>
    </row>
    <row r="29" spans="2:8" x14ac:dyDescent="0.2">
      <c r="C29" s="195" t="s">
        <v>217</v>
      </c>
      <c r="D29" s="24">
        <f>$D$24*'Gas Analysis'!$B$9</f>
        <v>2.5075944288416342E-3</v>
      </c>
      <c r="E29" s="24">
        <f t="shared" si="0"/>
        <v>1.0983263598326359E-2</v>
      </c>
      <c r="F29" s="24">
        <f>$F$24*'Gas Analysis'!$B$9</f>
        <v>3.5822777554880489E-4</v>
      </c>
      <c r="G29" s="24">
        <f t="shared" si="1"/>
        <v>1.5690376569037654E-3</v>
      </c>
    </row>
    <row r="30" spans="2:8" x14ac:dyDescent="0.2">
      <c r="C30" s="195" t="s">
        <v>115</v>
      </c>
      <c r="D30" s="24">
        <f>$D$24*'Gas Analysis'!$B$10</f>
        <v>1.4209701763435929E-2</v>
      </c>
      <c r="E30" s="24">
        <f t="shared" si="0"/>
        <v>6.2238493723849368E-2</v>
      </c>
      <c r="F30" s="24">
        <f>$F$24*'Gas Analysis'!$B$10</f>
        <v>2.029957394776561E-3</v>
      </c>
      <c r="G30" s="24">
        <f t="shared" si="1"/>
        <v>8.8912133891213361E-3</v>
      </c>
    </row>
    <row r="31" spans="2:8" x14ac:dyDescent="0.2">
      <c r="C31" s="196" t="s">
        <v>238</v>
      </c>
      <c r="D31" s="24">
        <f>$D$24*'Gas Analysis'!$B$6</f>
        <v>5.2937296701457727E-2</v>
      </c>
      <c r="E31" s="24">
        <f t="shared" si="0"/>
        <v>0.23186535955238483</v>
      </c>
      <c r="F31" s="24">
        <f>$F$24*'Gas Analysis'!$B$6</f>
        <v>7.5624709573511037E-3</v>
      </c>
      <c r="G31" s="24">
        <f t="shared" si="1"/>
        <v>3.3123622793197832E-2</v>
      </c>
    </row>
    <row r="32" spans="2:8" x14ac:dyDescent="0.2">
      <c r="C32" s="195" t="s">
        <v>108</v>
      </c>
      <c r="D32" s="24">
        <f>$D$24*'Gas Analysis'!$B$11</f>
        <v>0.49517230851429217</v>
      </c>
      <c r="E32" s="24">
        <f>D32*8760/2000</f>
        <v>2.1688547112926</v>
      </c>
      <c r="F32" s="24">
        <f>$F$24*'Gas Analysis'!$B$11</f>
        <v>7.0738901216327463E-2</v>
      </c>
      <c r="G32" s="24">
        <f>F32*8760/2000</f>
        <v>0.30983638732751428</v>
      </c>
    </row>
    <row r="34" spans="3:7" x14ac:dyDescent="0.2">
      <c r="C34" s="123" t="s">
        <v>190</v>
      </c>
      <c r="D34" s="24">
        <f t="shared" ref="D34" si="2">SUM(D36:D37)</f>
        <v>230.51078408762572</v>
      </c>
      <c r="E34" s="24">
        <f>SUM(E36:E37)</f>
        <v>1009.6372343038007</v>
      </c>
      <c r="F34" s="24">
        <f t="shared" ref="F34" si="3">SUM(F36:F37)</f>
        <v>32.930112012517966</v>
      </c>
      <c r="G34" s="24">
        <f>SUM(G36:G37)</f>
        <v>144.23389061482871</v>
      </c>
    </row>
    <row r="36" spans="3:7" x14ac:dyDescent="0.2">
      <c r="C36" s="123" t="s">
        <v>218</v>
      </c>
      <c r="D36" s="24">
        <f>$D$24*'Gas Analysis'!$B$12</f>
        <v>230.33204292329637</v>
      </c>
      <c r="E36" s="24">
        <f t="shared" ref="E36:E37" si="4">D36*8760/2000</f>
        <v>1008.8543480040381</v>
      </c>
      <c r="F36" s="24">
        <f>$F$24*'Gas Analysis'!$B$12</f>
        <v>32.904577560470912</v>
      </c>
      <c r="G36" s="24">
        <f t="shared" ref="G36:G37" si="5">F36*8760/2000</f>
        <v>144.12204971486261</v>
      </c>
    </row>
    <row r="37" spans="3:7" x14ac:dyDescent="0.2">
      <c r="C37" s="123" t="s">
        <v>219</v>
      </c>
      <c r="D37" s="24">
        <f>$D$24*'Gas Analysis'!$B$13</f>
        <v>0.17874116432936366</v>
      </c>
      <c r="E37" s="24">
        <f t="shared" si="4"/>
        <v>0.78288629976261281</v>
      </c>
      <c r="F37" s="24">
        <f>$F$24*'Gas Analysis'!$B$13</f>
        <v>2.5534452047051952E-2</v>
      </c>
      <c r="G37" s="24">
        <f t="shared" si="5"/>
        <v>0.11184089996608755</v>
      </c>
    </row>
  </sheetData>
  <mergeCells count="2">
    <mergeCell ref="D22:E22"/>
    <mergeCell ref="F22:G22"/>
  </mergeCells>
  <pageMargins left="0.75" right="0.75" top="1" bottom="1" header="0.5" footer="0.5"/>
  <pageSetup scale="76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zoomScale="85" workbookViewId="0">
      <selection activeCell="A5" sqref="A5"/>
    </sheetView>
  </sheetViews>
  <sheetFormatPr defaultRowHeight="12.75" x14ac:dyDescent="0.2"/>
  <cols>
    <col min="12" max="12" width="10.7109375" bestFit="1" customWidth="1"/>
    <col min="13" max="13" width="9.28515625" bestFit="1" customWidth="1"/>
  </cols>
  <sheetData>
    <row r="1" spans="1:13" ht="26.25" x14ac:dyDescent="0.4">
      <c r="A1" s="34" t="s">
        <v>187</v>
      </c>
      <c r="B1" s="34"/>
      <c r="C1" s="34"/>
      <c r="D1" s="34"/>
      <c r="E1" s="34"/>
      <c r="F1" s="34"/>
      <c r="G1" s="34"/>
      <c r="H1" s="34"/>
      <c r="I1" s="34"/>
      <c r="J1" s="34"/>
    </row>
    <row r="2" spans="1:13" x14ac:dyDescent="0.2">
      <c r="A2" t="s">
        <v>0</v>
      </c>
      <c r="B2" s="11" t="str">
        <f>'Controlled Emissions'!B2</f>
        <v>ABC Company</v>
      </c>
      <c r="C2" s="11"/>
      <c r="D2" s="37"/>
      <c r="E2" s="37"/>
      <c r="F2" s="37"/>
    </row>
    <row r="3" spans="1:13" ht="12.75" customHeight="1" x14ac:dyDescent="0.2">
      <c r="A3" t="s">
        <v>1</v>
      </c>
      <c r="B3" s="11" t="str">
        <f>'Controlled Emissions'!B3</f>
        <v>State of Utah</v>
      </c>
      <c r="C3" s="11"/>
      <c r="D3" s="37"/>
      <c r="E3" s="37"/>
      <c r="F3" s="37"/>
    </row>
    <row r="4" spans="1:13" x14ac:dyDescent="0.2">
      <c r="A4" t="s">
        <v>2</v>
      </c>
      <c r="B4" s="11" t="str">
        <f>'Controlled Emissions'!B4</f>
        <v>January 2014</v>
      </c>
      <c r="C4" s="11"/>
      <c r="D4" s="37"/>
      <c r="E4" s="37"/>
      <c r="F4" s="37"/>
    </row>
    <row r="6" spans="1:13" s="2" customFormat="1" ht="15.75" x14ac:dyDescent="0.3">
      <c r="B6"/>
      <c r="C6" s="67" t="s">
        <v>6</v>
      </c>
      <c r="D6" s="68" t="s">
        <v>9</v>
      </c>
      <c r="E6" s="68" t="s">
        <v>10</v>
      </c>
      <c r="F6" s="68" t="s">
        <v>3</v>
      </c>
      <c r="G6" s="68" t="s">
        <v>11</v>
      </c>
      <c r="H6" s="68" t="s">
        <v>119</v>
      </c>
      <c r="I6" s="68" t="s">
        <v>120</v>
      </c>
      <c r="J6" s="68" t="s">
        <v>7</v>
      </c>
      <c r="K6" s="68" t="s">
        <v>4</v>
      </c>
      <c r="L6" s="68" t="s">
        <v>12</v>
      </c>
      <c r="M6" s="74" t="s">
        <v>129</v>
      </c>
    </row>
    <row r="7" spans="1:13" s="2" customFormat="1" ht="13.5" thickBot="1" x14ac:dyDescent="0.25">
      <c r="B7"/>
      <c r="C7" s="65" t="s">
        <v>14</v>
      </c>
      <c r="D7" s="22" t="s">
        <v>14</v>
      </c>
      <c r="E7" s="22" t="s">
        <v>14</v>
      </c>
      <c r="F7" s="22" t="s">
        <v>14</v>
      </c>
      <c r="G7" s="22" t="s">
        <v>14</v>
      </c>
      <c r="H7" s="22" t="s">
        <v>14</v>
      </c>
      <c r="I7" s="22" t="s">
        <v>14</v>
      </c>
      <c r="J7" s="22" t="s">
        <v>14</v>
      </c>
      <c r="K7" s="22" t="s">
        <v>14</v>
      </c>
      <c r="L7" s="22" t="s">
        <v>14</v>
      </c>
      <c r="M7" s="75" t="s">
        <v>14</v>
      </c>
    </row>
    <row r="8" spans="1:13" x14ac:dyDescent="0.2">
      <c r="B8" s="23" t="s">
        <v>5</v>
      </c>
      <c r="C8" s="62"/>
      <c r="D8" s="36"/>
      <c r="E8" s="36"/>
      <c r="F8" s="36"/>
      <c r="G8" s="36"/>
      <c r="H8" s="36"/>
      <c r="I8" s="36"/>
      <c r="J8" s="36"/>
      <c r="K8" s="36">
        <f>G40</f>
        <v>7.7490079365079376</v>
      </c>
      <c r="L8" s="36">
        <f>G41</f>
        <v>1.1267046201600839</v>
      </c>
      <c r="M8" s="78">
        <f>G52</f>
        <v>372.26763568875396</v>
      </c>
    </row>
    <row r="9" spans="1:13" x14ac:dyDescent="0.2">
      <c r="B9" s="23" t="s">
        <v>199</v>
      </c>
      <c r="C9" s="54"/>
      <c r="D9" s="29"/>
      <c r="E9" s="29"/>
      <c r="F9" s="29"/>
      <c r="G9" s="29"/>
      <c r="H9" s="29"/>
      <c r="I9" s="29"/>
      <c r="J9" s="29"/>
      <c r="K9" s="29">
        <f>I40</f>
        <v>0.16190839947089947</v>
      </c>
      <c r="L9" s="29">
        <f>I41</f>
        <v>2.3541457593189034E-2</v>
      </c>
      <c r="M9" s="79">
        <f>I52</f>
        <v>7.7781901325996019</v>
      </c>
    </row>
    <row r="10" spans="1:13" x14ac:dyDescent="0.2">
      <c r="J10" s="49"/>
      <c r="K10" s="2"/>
      <c r="L10" s="2"/>
    </row>
    <row r="11" spans="1:13" ht="15.75" x14ac:dyDescent="0.3">
      <c r="C11" s="67" t="s">
        <v>6</v>
      </c>
      <c r="D11" s="68" t="s">
        <v>9</v>
      </c>
      <c r="E11" s="68" t="s">
        <v>10</v>
      </c>
      <c r="F11" s="68" t="s">
        <v>3</v>
      </c>
      <c r="G11" s="68" t="s">
        <v>11</v>
      </c>
      <c r="H11" s="68" t="s">
        <v>119</v>
      </c>
      <c r="I11" s="68" t="s">
        <v>120</v>
      </c>
      <c r="J11" s="68" t="s">
        <v>7</v>
      </c>
      <c r="K11" s="68" t="s">
        <v>4</v>
      </c>
      <c r="L11" s="69" t="s">
        <v>12</v>
      </c>
    </row>
    <row r="12" spans="1:13" ht="13.5" thickBot="1" x14ac:dyDescent="0.25">
      <c r="C12" s="65" t="s">
        <v>15</v>
      </c>
      <c r="D12" s="22" t="s">
        <v>15</v>
      </c>
      <c r="E12" s="22" t="s">
        <v>15</v>
      </c>
      <c r="F12" s="22" t="s">
        <v>15</v>
      </c>
      <c r="G12" s="22" t="s">
        <v>15</v>
      </c>
      <c r="H12" s="22" t="s">
        <v>15</v>
      </c>
      <c r="I12" s="22" t="s">
        <v>15</v>
      </c>
      <c r="J12" s="22" t="s">
        <v>15</v>
      </c>
      <c r="K12" s="22" t="s">
        <v>15</v>
      </c>
      <c r="L12" s="66" t="s">
        <v>15</v>
      </c>
    </row>
    <row r="13" spans="1:13" x14ac:dyDescent="0.2">
      <c r="C13" s="62"/>
      <c r="D13" s="36"/>
      <c r="E13" s="36"/>
      <c r="F13" s="36"/>
      <c r="G13" s="36"/>
      <c r="H13" s="36"/>
      <c r="I13" s="36"/>
      <c r="J13" s="36"/>
      <c r="K13" s="36">
        <f>F40</f>
        <v>1.7691798941798944</v>
      </c>
      <c r="L13" s="57">
        <f>F41</f>
        <v>0.25723849775344376</v>
      </c>
    </row>
    <row r="14" spans="1:13" x14ac:dyDescent="0.2">
      <c r="C14" s="54"/>
      <c r="D14" s="29"/>
      <c r="E14" s="29"/>
      <c r="F14" s="29"/>
      <c r="G14" s="29"/>
      <c r="H14" s="29"/>
      <c r="I14" s="29"/>
      <c r="J14" s="29"/>
      <c r="K14" s="29">
        <f>H40</f>
        <v>3.6965388007054671E-2</v>
      </c>
      <c r="L14" s="59">
        <f>H41</f>
        <v>5.3747620075774048E-3</v>
      </c>
    </row>
    <row r="15" spans="1:13" x14ac:dyDescent="0.2">
      <c r="C15" s="23"/>
      <c r="D15" s="49"/>
      <c r="E15" s="49"/>
      <c r="F15" s="49"/>
      <c r="G15" s="49"/>
      <c r="H15" s="49"/>
      <c r="I15" s="49"/>
      <c r="K15" s="2"/>
    </row>
    <row r="16" spans="1:13" x14ac:dyDescent="0.2">
      <c r="D16" s="253" t="s">
        <v>283</v>
      </c>
      <c r="E16" s="254"/>
      <c r="F16" s="254"/>
      <c r="G16" s="254"/>
      <c r="H16" s="254"/>
      <c r="I16" s="254"/>
      <c r="J16" s="254"/>
      <c r="K16" s="254"/>
      <c r="L16" s="2"/>
    </row>
    <row r="17" spans="2:13" x14ac:dyDescent="0.2">
      <c r="D17" s="244" t="s">
        <v>274</v>
      </c>
      <c r="E17" s="242"/>
      <c r="F17" s="242"/>
      <c r="G17" s="243"/>
      <c r="H17" s="244" t="s">
        <v>275</v>
      </c>
      <c r="I17" s="242"/>
      <c r="J17" s="242"/>
      <c r="K17" s="243"/>
    </row>
    <row r="18" spans="2:13" x14ac:dyDescent="0.2">
      <c r="D18" s="244" t="s">
        <v>284</v>
      </c>
      <c r="E18" s="242"/>
      <c r="F18" s="242"/>
      <c r="G18" s="243"/>
      <c r="H18" s="244" t="s">
        <v>273</v>
      </c>
      <c r="I18" s="242"/>
      <c r="J18" s="242"/>
      <c r="K18" s="243"/>
    </row>
    <row r="19" spans="2:13" ht="13.5" thickBot="1" x14ac:dyDescent="0.25">
      <c r="D19" s="217" t="s">
        <v>269</v>
      </c>
      <c r="E19" s="218" t="s">
        <v>270</v>
      </c>
      <c r="F19" s="218" t="s">
        <v>271</v>
      </c>
      <c r="G19" s="219" t="s">
        <v>272</v>
      </c>
      <c r="H19" s="217" t="s">
        <v>269</v>
      </c>
      <c r="I19" s="218" t="s">
        <v>270</v>
      </c>
      <c r="J19" s="218" t="s">
        <v>271</v>
      </c>
      <c r="K19" s="219" t="s">
        <v>272</v>
      </c>
    </row>
    <row r="20" spans="2:13" x14ac:dyDescent="0.2">
      <c r="C20" s="17" t="s">
        <v>263</v>
      </c>
      <c r="D20" s="221">
        <v>4.4999999999999997E-3</v>
      </c>
      <c r="E20" s="234">
        <v>8.3999999999999992E-6</v>
      </c>
      <c r="F20" s="222">
        <v>2.5000000000000001E-3</v>
      </c>
      <c r="G20" s="223">
        <v>9.7999999999999997E-5</v>
      </c>
      <c r="H20" s="221">
        <v>2.5000000000000001E-5</v>
      </c>
      <c r="I20" s="222">
        <v>8.3999999999999992E-6</v>
      </c>
      <c r="J20" s="222">
        <v>1.9000000000000001E-5</v>
      </c>
      <c r="K20" s="223">
        <v>9.7000000000000003E-6</v>
      </c>
    </row>
    <row r="21" spans="2:13" x14ac:dyDescent="0.2">
      <c r="C21" s="17" t="s">
        <v>264</v>
      </c>
      <c r="D21" s="221">
        <v>2.3999999999999998E-3</v>
      </c>
      <c r="E21" s="215" t="s">
        <v>140</v>
      </c>
      <c r="F21" s="222">
        <v>1.2999999999999999E-2</v>
      </c>
      <c r="G21" s="235">
        <v>2.4000000000000001E-5</v>
      </c>
      <c r="H21" s="221">
        <v>3.5E-4</v>
      </c>
      <c r="I21" s="215" t="s">
        <v>140</v>
      </c>
      <c r="J21" s="222">
        <v>5.1000000000000004E-4</v>
      </c>
      <c r="K21" s="223">
        <v>2.4000000000000001E-5</v>
      </c>
    </row>
    <row r="22" spans="2:13" x14ac:dyDescent="0.2">
      <c r="C22" s="17" t="s">
        <v>265</v>
      </c>
      <c r="D22" s="221">
        <v>8.8000000000000005E-3</v>
      </c>
      <c r="E22" s="234">
        <v>3.1999999999999999E-5</v>
      </c>
      <c r="F22" s="222">
        <v>7.4999999999999997E-3</v>
      </c>
      <c r="G22" s="223">
        <v>1.4E-2</v>
      </c>
      <c r="H22" s="221">
        <v>1.2E-4</v>
      </c>
      <c r="I22" s="222">
        <v>3.1999999999999999E-5</v>
      </c>
      <c r="J22" s="222">
        <v>1.1E-4</v>
      </c>
      <c r="K22" s="223">
        <v>5.8999999999999998E-5</v>
      </c>
    </row>
    <row r="23" spans="2:13" x14ac:dyDescent="0.2">
      <c r="C23" s="17" t="s">
        <v>266</v>
      </c>
      <c r="D23" s="221">
        <v>2.0000000000000001E-4</v>
      </c>
      <c r="E23" s="236">
        <v>7.5000000000000002E-6</v>
      </c>
      <c r="F23" s="222">
        <v>2.1000000000000001E-4</v>
      </c>
      <c r="G23" s="223">
        <v>1.1E-4</v>
      </c>
      <c r="H23" s="221">
        <v>1.0000000000000001E-5</v>
      </c>
      <c r="I23" s="222">
        <v>7.5000000000000002E-6</v>
      </c>
      <c r="J23" s="222">
        <v>9.7000000000000003E-6</v>
      </c>
      <c r="K23" s="223">
        <v>1.0000000000000001E-5</v>
      </c>
    </row>
    <row r="24" spans="2:13" x14ac:dyDescent="0.2">
      <c r="C24" s="17" t="s">
        <v>267</v>
      </c>
      <c r="D24" s="221">
        <v>3.8999999999999999E-4</v>
      </c>
      <c r="E24" s="236">
        <v>3.9000000000000002E-7</v>
      </c>
      <c r="F24" s="222">
        <v>1.1E-4</v>
      </c>
      <c r="G24" s="235">
        <v>2.9000000000000002E-6</v>
      </c>
      <c r="H24" s="221">
        <v>5.6999999999999996E-6</v>
      </c>
      <c r="I24" s="222">
        <v>3.9000000000000002E-7</v>
      </c>
      <c r="J24" s="222">
        <v>2.3999999999999999E-6</v>
      </c>
      <c r="K24" s="223">
        <v>2.9000000000000002E-6</v>
      </c>
    </row>
    <row r="25" spans="2:13" x14ac:dyDescent="0.2">
      <c r="C25" s="17" t="s">
        <v>268</v>
      </c>
      <c r="D25" s="221">
        <v>2E-3</v>
      </c>
      <c r="E25" s="222">
        <v>1.3999999999999999E-4</v>
      </c>
      <c r="F25" s="222">
        <v>1.4E-3</v>
      </c>
      <c r="G25" s="223">
        <v>2.5000000000000001E-4</v>
      </c>
      <c r="H25" s="221">
        <v>1.5E-5</v>
      </c>
      <c r="I25" s="222">
        <v>7.1999999999999997E-6</v>
      </c>
      <c r="J25" s="222">
        <v>1.4E-5</v>
      </c>
      <c r="K25" s="223">
        <v>3.4999999999999999E-6</v>
      </c>
    </row>
    <row r="27" spans="2:13" x14ac:dyDescent="0.2">
      <c r="L27" s="213" t="s">
        <v>280</v>
      </c>
      <c r="M27" s="214" t="s">
        <v>199</v>
      </c>
    </row>
    <row r="28" spans="2:13" x14ac:dyDescent="0.2">
      <c r="D28" s="244" t="s">
        <v>277</v>
      </c>
      <c r="E28" s="242"/>
      <c r="F28" s="242"/>
      <c r="G28" s="243"/>
      <c r="H28" s="244" t="s">
        <v>278</v>
      </c>
      <c r="I28" s="242"/>
      <c r="J28" s="242"/>
      <c r="K28" s="242"/>
      <c r="L28" s="228" t="s">
        <v>279</v>
      </c>
      <c r="M28" s="153" t="s">
        <v>279</v>
      </c>
    </row>
    <row r="29" spans="2:13" ht="13.5" thickBot="1" x14ac:dyDescent="0.25">
      <c r="C29" s="133" t="s">
        <v>276</v>
      </c>
      <c r="D29" s="217" t="s">
        <v>269</v>
      </c>
      <c r="E29" s="218" t="s">
        <v>270</v>
      </c>
      <c r="F29" s="218" t="s">
        <v>271</v>
      </c>
      <c r="G29" s="219" t="s">
        <v>272</v>
      </c>
      <c r="H29" s="217" t="s">
        <v>269</v>
      </c>
      <c r="I29" s="218" t="s">
        <v>270</v>
      </c>
      <c r="J29" s="218" t="s">
        <v>271</v>
      </c>
      <c r="K29" s="218" t="s">
        <v>272</v>
      </c>
      <c r="L29" s="229" t="s">
        <v>15</v>
      </c>
      <c r="M29" s="230" t="s">
        <v>15</v>
      </c>
    </row>
    <row r="30" spans="2:13" x14ac:dyDescent="0.2">
      <c r="B30" s="17" t="s">
        <v>263</v>
      </c>
      <c r="C30" s="10">
        <v>50</v>
      </c>
      <c r="D30" s="224">
        <f>$C30*D20/0.4536</f>
        <v>0.49603174603174599</v>
      </c>
      <c r="E30" s="225" t="s">
        <v>140</v>
      </c>
      <c r="F30" s="220">
        <f t="shared" ref="F30:K30" si="0">$C30*F20/0.4536</f>
        <v>0.27557319223985888</v>
      </c>
      <c r="G30" s="226">
        <f t="shared" si="0"/>
        <v>1.0802469135802469E-2</v>
      </c>
      <c r="H30" s="221">
        <f t="shared" si="0"/>
        <v>2.7557319223985889E-3</v>
      </c>
      <c r="I30" s="222">
        <f t="shared" si="0"/>
        <v>9.2592592592592585E-4</v>
      </c>
      <c r="J30" s="222">
        <f t="shared" si="0"/>
        <v>2.094356261022928E-3</v>
      </c>
      <c r="K30" s="222">
        <f t="shared" si="0"/>
        <v>1.0692239858906525E-3</v>
      </c>
      <c r="L30" s="224">
        <f>MAX(D30:G30)</f>
        <v>0.49603174603174599</v>
      </c>
      <c r="M30" s="223">
        <f>MAX(H30:K30)</f>
        <v>2.7557319223985889E-3</v>
      </c>
    </row>
    <row r="31" spans="2:13" x14ac:dyDescent="0.2">
      <c r="B31" s="17" t="s">
        <v>264</v>
      </c>
      <c r="C31" s="10">
        <v>50</v>
      </c>
      <c r="D31" s="224">
        <f t="shared" ref="D31:K31" si="1">$C31*D21/0.4536</f>
        <v>0.26455026455026454</v>
      </c>
      <c r="E31" s="225" t="s">
        <v>140</v>
      </c>
      <c r="F31" s="220">
        <f t="shared" si="1"/>
        <v>1.4329805996472664</v>
      </c>
      <c r="G31" s="227" t="s">
        <v>140</v>
      </c>
      <c r="H31" s="221">
        <f t="shared" si="1"/>
        <v>3.8580246913580245E-2</v>
      </c>
      <c r="I31" s="215" t="s">
        <v>140</v>
      </c>
      <c r="J31" s="222">
        <f t="shared" si="1"/>
        <v>5.6216931216931221E-2</v>
      </c>
      <c r="K31" s="222">
        <f t="shared" si="1"/>
        <v>2.6455026455026458E-3</v>
      </c>
      <c r="L31" s="224">
        <f t="shared" ref="L31:L35" si="2">MAX(D31:G31)</f>
        <v>1.4329805996472664</v>
      </c>
      <c r="M31" s="223">
        <f t="shared" ref="M31:M35" si="3">MAX(H31:K31)</f>
        <v>5.6216931216931221E-2</v>
      </c>
    </row>
    <row r="32" spans="2:13" x14ac:dyDescent="0.2">
      <c r="B32" s="17" t="s">
        <v>265</v>
      </c>
      <c r="C32" s="10">
        <v>50</v>
      </c>
      <c r="D32" s="224">
        <f t="shared" ref="D32:K32" si="4">$C32*D22/0.4536</f>
        <v>0.9700176366843033</v>
      </c>
      <c r="E32" s="225" t="s">
        <v>140</v>
      </c>
      <c r="F32" s="220">
        <f t="shared" si="4"/>
        <v>0.82671957671957674</v>
      </c>
      <c r="G32" s="226">
        <f t="shared" si="4"/>
        <v>1.5432098765432101</v>
      </c>
      <c r="H32" s="221">
        <f t="shared" si="4"/>
        <v>1.3227513227513229E-2</v>
      </c>
      <c r="I32" s="222">
        <f t="shared" si="4"/>
        <v>3.5273368606701938E-3</v>
      </c>
      <c r="J32" s="222">
        <f t="shared" si="4"/>
        <v>1.2125220458553793E-2</v>
      </c>
      <c r="K32" s="222">
        <f t="shared" si="4"/>
        <v>6.5035273368606698E-3</v>
      </c>
      <c r="L32" s="224">
        <f t="shared" si="2"/>
        <v>1.5432098765432101</v>
      </c>
      <c r="M32" s="223">
        <f t="shared" si="3"/>
        <v>1.3227513227513229E-2</v>
      </c>
    </row>
    <row r="33" spans="2:13" x14ac:dyDescent="0.2">
      <c r="B33" s="17" t="s">
        <v>266</v>
      </c>
      <c r="C33" s="10">
        <v>50</v>
      </c>
      <c r="D33" s="224">
        <f t="shared" ref="D33:K33" si="5">$C33*D23/0.4536</f>
        <v>2.2045855379188711E-2</v>
      </c>
      <c r="E33" s="216" t="s">
        <v>140</v>
      </c>
      <c r="F33" s="220">
        <f t="shared" si="5"/>
        <v>2.314814814814815E-2</v>
      </c>
      <c r="G33" s="226">
        <f t="shared" si="5"/>
        <v>1.2125220458553793E-2</v>
      </c>
      <c r="H33" s="221">
        <f t="shared" si="5"/>
        <v>1.1022927689594356E-3</v>
      </c>
      <c r="I33" s="222">
        <f t="shared" si="5"/>
        <v>8.2671957671957678E-4</v>
      </c>
      <c r="J33" s="222">
        <f t="shared" si="5"/>
        <v>1.0692239858906525E-3</v>
      </c>
      <c r="K33" s="222">
        <f t="shared" si="5"/>
        <v>1.1022927689594356E-3</v>
      </c>
      <c r="L33" s="224">
        <f t="shared" si="2"/>
        <v>2.314814814814815E-2</v>
      </c>
      <c r="M33" s="223">
        <f t="shared" si="3"/>
        <v>1.1022927689594356E-3</v>
      </c>
    </row>
    <row r="34" spans="2:13" x14ac:dyDescent="0.2">
      <c r="B34" s="17" t="s">
        <v>267</v>
      </c>
      <c r="C34" s="10">
        <v>50</v>
      </c>
      <c r="D34" s="224">
        <f t="shared" ref="D34:K34" si="6">$C34*D24/0.4536</f>
        <v>4.2989417989417987E-2</v>
      </c>
      <c r="E34" s="216" t="s">
        <v>140</v>
      </c>
      <c r="F34" s="220">
        <f t="shared" si="6"/>
        <v>1.2125220458553793E-2</v>
      </c>
      <c r="G34" s="227" t="s">
        <v>140</v>
      </c>
      <c r="H34" s="221">
        <f t="shared" si="6"/>
        <v>6.2830687830687832E-4</v>
      </c>
      <c r="I34" s="222">
        <f t="shared" si="6"/>
        <v>4.2989417989417992E-5</v>
      </c>
      <c r="J34" s="222">
        <f t="shared" si="6"/>
        <v>2.6455026455026451E-4</v>
      </c>
      <c r="K34" s="222">
        <f t="shared" si="6"/>
        <v>3.1966490299823635E-4</v>
      </c>
      <c r="L34" s="224">
        <f t="shared" si="2"/>
        <v>4.2989417989417987E-2</v>
      </c>
      <c r="M34" s="223">
        <f t="shared" si="3"/>
        <v>6.2830687830687832E-4</v>
      </c>
    </row>
    <row r="35" spans="2:13" x14ac:dyDescent="0.2">
      <c r="B35" s="17" t="s">
        <v>268</v>
      </c>
      <c r="C35" s="10">
        <v>0</v>
      </c>
      <c r="D35" s="224">
        <f t="shared" ref="D35:K35" si="7">$C35*D25/0.4536</f>
        <v>0</v>
      </c>
      <c r="E35" s="220">
        <f t="shared" si="7"/>
        <v>0</v>
      </c>
      <c r="F35" s="220">
        <f t="shared" si="7"/>
        <v>0</v>
      </c>
      <c r="G35" s="226">
        <f t="shared" si="7"/>
        <v>0</v>
      </c>
      <c r="H35" s="221">
        <f t="shared" si="7"/>
        <v>0</v>
      </c>
      <c r="I35" s="222">
        <f t="shared" si="7"/>
        <v>0</v>
      </c>
      <c r="J35" s="222">
        <f t="shared" si="7"/>
        <v>0</v>
      </c>
      <c r="K35" s="222">
        <f t="shared" si="7"/>
        <v>0</v>
      </c>
      <c r="L35" s="224">
        <f t="shared" si="2"/>
        <v>0</v>
      </c>
      <c r="M35" s="223">
        <f t="shared" si="3"/>
        <v>0</v>
      </c>
    </row>
    <row r="36" spans="2:13" x14ac:dyDescent="0.2">
      <c r="B36" s="17"/>
      <c r="C36" s="222"/>
      <c r="D36" s="222"/>
      <c r="E36" s="222"/>
      <c r="F36" s="222"/>
      <c r="G36" s="222"/>
      <c r="H36" s="222"/>
      <c r="I36" s="222"/>
      <c r="J36" s="222"/>
    </row>
    <row r="37" spans="2:13" x14ac:dyDescent="0.2">
      <c r="B37" s="17"/>
    </row>
    <row r="38" spans="2:13" x14ac:dyDescent="0.2">
      <c r="B38" s="232">
        <f>ROUND('Gas Analysis'!D15,2)</f>
        <v>0.5</v>
      </c>
      <c r="C38" s="133" t="s">
        <v>282</v>
      </c>
      <c r="E38" s="222"/>
      <c r="F38" s="252" t="s">
        <v>5</v>
      </c>
      <c r="G38" s="252"/>
      <c r="H38" s="252" t="s">
        <v>199</v>
      </c>
      <c r="I38" s="252"/>
    </row>
    <row r="39" spans="2:13" x14ac:dyDescent="0.2">
      <c r="E39" s="2"/>
      <c r="F39" t="s">
        <v>29</v>
      </c>
      <c r="G39" t="s">
        <v>13</v>
      </c>
      <c r="H39" t="s">
        <v>29</v>
      </c>
      <c r="I39" t="s">
        <v>13</v>
      </c>
    </row>
    <row r="40" spans="2:13" x14ac:dyDescent="0.2">
      <c r="E40" s="1" t="s">
        <v>4</v>
      </c>
      <c r="F40" s="70">
        <f>SUM(L30:L35)*$B$38</f>
        <v>1.7691798941798944</v>
      </c>
      <c r="G40" s="24">
        <f>F40*8760/2000</f>
        <v>7.7490079365079376</v>
      </c>
      <c r="H40" s="233">
        <f>SUM(M30:M35)*$B$38</f>
        <v>3.6965388007054671E-2</v>
      </c>
      <c r="I40" s="233">
        <f>H40*8760/2000</f>
        <v>0.16190839947089947</v>
      </c>
    </row>
    <row r="41" spans="2:13" x14ac:dyDescent="0.2">
      <c r="E41" s="123" t="s">
        <v>188</v>
      </c>
      <c r="F41" s="24">
        <f>SUM(F43:F48)</f>
        <v>0.25723849775344376</v>
      </c>
      <c r="G41" s="24">
        <f>SUM(G43:G48)</f>
        <v>1.1267046201600839</v>
      </c>
      <c r="H41" s="24">
        <f>SUM(H43:H48)</f>
        <v>5.3747620075774048E-3</v>
      </c>
      <c r="I41" s="24">
        <f>SUM(I43:I48)</f>
        <v>2.3541457593189034E-2</v>
      </c>
    </row>
    <row r="43" spans="2:13" x14ac:dyDescent="0.2">
      <c r="E43" s="195" t="s">
        <v>50</v>
      </c>
      <c r="F43" s="24">
        <f>$F$40*'Gas Analysis'!B7</f>
        <v>3.2216078738132287E-2</v>
      </c>
      <c r="G43" s="24">
        <f>F43*8760/2000</f>
        <v>0.14110642487301941</v>
      </c>
      <c r="H43" s="24">
        <f>$H$40*'Gas Analysis'!B7</f>
        <v>6.7312535855655207E-4</v>
      </c>
      <c r="I43" s="24">
        <f>H43*8760/2000</f>
        <v>2.9482890704776981E-3</v>
      </c>
    </row>
    <row r="44" spans="2:13" x14ac:dyDescent="0.2">
      <c r="E44" s="195" t="s">
        <v>55</v>
      </c>
      <c r="F44" s="24">
        <f>$F$40*'Gas Analysis'!B8</f>
        <v>1.660107893131187E-2</v>
      </c>
      <c r="G44" s="24">
        <f t="shared" ref="G44:G46" si="8">F44*8760/2000</f>
        <v>7.2712725719145999E-2</v>
      </c>
      <c r="H44" s="24">
        <f>$H$40*'Gas Analysis'!B8</f>
        <v>3.4686428782650683E-4</v>
      </c>
      <c r="I44" s="24">
        <f t="shared" ref="I44:I47" si="9">H44*8760/2000</f>
        <v>1.5192655806800998E-3</v>
      </c>
    </row>
    <row r="45" spans="2:13" x14ac:dyDescent="0.2">
      <c r="E45" s="195" t="s">
        <v>217</v>
      </c>
      <c r="F45" s="24">
        <f>$F$40*'Gas Analysis'!B9</f>
        <v>9.2530329193509116E-4</v>
      </c>
      <c r="G45" s="24">
        <f t="shared" si="8"/>
        <v>4.0528284186756997E-3</v>
      </c>
      <c r="H45" s="24">
        <f>$H$40*'Gas Analysis'!B9</f>
        <v>1.9333361928375873E-5</v>
      </c>
      <c r="I45" s="24">
        <f t="shared" si="9"/>
        <v>8.468012524628632E-5</v>
      </c>
    </row>
    <row r="46" spans="2:13" x14ac:dyDescent="0.2">
      <c r="E46" s="195" t="s">
        <v>115</v>
      </c>
      <c r="F46" s="24">
        <f>$F$40*'Gas Analysis'!B10</f>
        <v>5.2433853209655169E-3</v>
      </c>
      <c r="G46" s="24">
        <f t="shared" si="8"/>
        <v>2.2966027705828965E-2</v>
      </c>
      <c r="H46" s="24">
        <f>$H$40*'Gas Analysis'!B10</f>
        <v>1.0955571759412995E-4</v>
      </c>
      <c r="I46" s="24">
        <f t="shared" si="9"/>
        <v>4.7985404306228918E-4</v>
      </c>
    </row>
    <row r="47" spans="2:13" x14ac:dyDescent="0.2">
      <c r="E47" s="196" t="s">
        <v>238</v>
      </c>
      <c r="F47" s="24">
        <f>$F$40*'Gas Analysis'!B6</f>
        <v>1.9533882489374828E-2</v>
      </c>
      <c r="G47" s="24">
        <f t="shared" ref="G47" si="10">F47*8760/2000</f>
        <v>8.5558405303461746E-2</v>
      </c>
      <c r="H47" s="24">
        <f>$H$40*'Gas Analysis'!B6</f>
        <v>4.0814252291662603E-4</v>
      </c>
      <c r="I47" s="24">
        <f t="shared" si="9"/>
        <v>1.787664250374822E-3</v>
      </c>
    </row>
    <row r="48" spans="2:13" x14ac:dyDescent="0.2">
      <c r="E48" s="195" t="s">
        <v>108</v>
      </c>
      <c r="F48" s="24">
        <f>$F$40*'Gas Analysis'!B11</f>
        <v>0.18271876898172418</v>
      </c>
      <c r="G48" s="24">
        <f>F48*8760/2000</f>
        <v>0.80030820813995196</v>
      </c>
      <c r="H48" s="24">
        <f>$H$40*'Gas Analysis'!B11</f>
        <v>3.8177407587552141E-3</v>
      </c>
      <c r="I48" s="24">
        <f>H48*8760/2000</f>
        <v>1.6721704523347838E-2</v>
      </c>
    </row>
    <row r="50" spans="5:9" x14ac:dyDescent="0.2">
      <c r="E50" s="123" t="s">
        <v>190</v>
      </c>
      <c r="F50" s="24">
        <f t="shared" ref="F50:H50" si="11">SUM(F52:F53)</f>
        <v>85.058566445032369</v>
      </c>
      <c r="G50" s="24">
        <f>SUM(G52:G53)</f>
        <v>372.55652102924176</v>
      </c>
      <c r="H50" s="24">
        <f t="shared" si="11"/>
        <v>1.777220576781408</v>
      </c>
      <c r="I50" s="24">
        <f>SUM(I52:I53)</f>
        <v>7.7842261263025669</v>
      </c>
    </row>
    <row r="52" spans="5:9" x14ac:dyDescent="0.2">
      <c r="E52" s="123" t="s">
        <v>218</v>
      </c>
      <c r="F52" s="24">
        <f>$F$40*'Gas Analysis'!B12</f>
        <v>84.992610887843369</v>
      </c>
      <c r="G52" s="24">
        <f t="shared" ref="G52:G53" si="12">F52*8760/2000</f>
        <v>372.26763568875396</v>
      </c>
      <c r="H52" s="24">
        <f>$H$40*'Gas Analysis'!B12</f>
        <v>1.7758424960273065</v>
      </c>
      <c r="I52" s="24">
        <f t="shared" ref="I52:I53" si="13">H52*8760/2000</f>
        <v>7.7781901325996019</v>
      </c>
    </row>
    <row r="53" spans="5:9" x14ac:dyDescent="0.2">
      <c r="E53" s="123" t="s">
        <v>219</v>
      </c>
      <c r="F53" s="24">
        <f>$F$40*'Gas Analysis'!B13</f>
        <v>6.5955557188995637E-2</v>
      </c>
      <c r="G53" s="24">
        <f t="shared" si="12"/>
        <v>0.2888853404878009</v>
      </c>
      <c r="H53" s="24">
        <f>$H$40*'Gas Analysis'!B13</f>
        <v>1.378080754101538E-3</v>
      </c>
      <c r="I53" s="24">
        <f t="shared" si="13"/>
        <v>6.0359937029647367E-3</v>
      </c>
    </row>
  </sheetData>
  <mergeCells count="9">
    <mergeCell ref="D16:K16"/>
    <mergeCell ref="D28:G28"/>
    <mergeCell ref="H28:K28"/>
    <mergeCell ref="F38:G38"/>
    <mergeCell ref="H38:I38"/>
    <mergeCell ref="D18:G18"/>
    <mergeCell ref="D17:G17"/>
    <mergeCell ref="H17:K17"/>
    <mergeCell ref="H18:K18"/>
  </mergeCells>
  <pageMargins left="0.75" right="0.75" top="1" bottom="1" header="0.5" footer="0.5"/>
  <pageSetup scale="71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zoomScaleNormal="100" workbookViewId="0">
      <pane xSplit="1" topLeftCell="D1" activePane="topRight" state="frozen"/>
      <selection pane="topRight" activeCell="M15" sqref="M15"/>
    </sheetView>
  </sheetViews>
  <sheetFormatPr defaultRowHeight="12.75" x14ac:dyDescent="0.2"/>
  <cols>
    <col min="1" max="1" width="12.5703125" bestFit="1" customWidth="1"/>
    <col min="2" max="2" width="12.5703125" style="6" customWidth="1"/>
    <col min="3" max="3" width="14.28515625" bestFit="1" customWidth="1"/>
    <col min="4" max="4" width="12" bestFit="1" customWidth="1"/>
    <col min="5" max="5" width="14.28515625" customWidth="1"/>
    <col min="6" max="6" width="12" customWidth="1"/>
    <col min="7" max="7" width="14.28515625" bestFit="1" customWidth="1"/>
    <col min="8" max="8" width="12" bestFit="1" customWidth="1"/>
    <col min="9" max="16" width="12" customWidth="1"/>
    <col min="18" max="18" width="12" bestFit="1" customWidth="1"/>
    <col min="21" max="21" width="11.28515625" bestFit="1" customWidth="1"/>
    <col min="22" max="23" width="12" bestFit="1" customWidth="1"/>
    <col min="24" max="24" width="11.28515625" bestFit="1" customWidth="1"/>
    <col min="25" max="26" width="12" bestFit="1" customWidth="1"/>
    <col min="27" max="27" width="11.28515625" bestFit="1" customWidth="1"/>
    <col min="28" max="29" width="12" bestFit="1" customWidth="1"/>
    <col min="30" max="30" width="11.28515625" bestFit="1" customWidth="1"/>
    <col min="31" max="32" width="12" bestFit="1" customWidth="1"/>
  </cols>
  <sheetData>
    <row r="1" spans="1:16" x14ac:dyDescent="0.2">
      <c r="B1" s="202"/>
      <c r="C1" s="255" t="s">
        <v>222</v>
      </c>
      <c r="D1" s="250"/>
      <c r="E1" s="255" t="s">
        <v>222</v>
      </c>
      <c r="F1" s="250"/>
      <c r="G1" s="255" t="s">
        <v>222</v>
      </c>
      <c r="H1" s="250"/>
      <c r="I1" s="255" t="s">
        <v>222</v>
      </c>
      <c r="J1" s="250"/>
      <c r="K1" s="255" t="s">
        <v>222</v>
      </c>
      <c r="L1" s="250"/>
      <c r="M1" s="255" t="s">
        <v>239</v>
      </c>
      <c r="N1" s="250"/>
      <c r="O1" s="192"/>
      <c r="P1" s="193"/>
    </row>
    <row r="2" spans="1:16" x14ac:dyDescent="0.2">
      <c r="B2" s="201" t="s">
        <v>252</v>
      </c>
      <c r="C2" s="255" t="s">
        <v>234</v>
      </c>
      <c r="D2" s="250"/>
      <c r="E2" s="255" t="s">
        <v>235</v>
      </c>
      <c r="F2" s="250"/>
      <c r="G2" s="255" t="s">
        <v>236</v>
      </c>
      <c r="H2" s="250"/>
      <c r="I2" s="255" t="s">
        <v>237</v>
      </c>
      <c r="J2" s="250"/>
      <c r="K2" s="255" t="s">
        <v>233</v>
      </c>
      <c r="L2" s="250"/>
      <c r="M2" s="255" t="s">
        <v>240</v>
      </c>
      <c r="N2" s="250"/>
      <c r="O2" s="255" t="s">
        <v>223</v>
      </c>
      <c r="P2" s="250"/>
    </row>
    <row r="3" spans="1:16" x14ac:dyDescent="0.2">
      <c r="B3" s="202" t="s">
        <v>221</v>
      </c>
      <c r="C3" s="146" t="s">
        <v>220</v>
      </c>
      <c r="D3" s="147" t="s">
        <v>221</v>
      </c>
      <c r="E3" s="146" t="s">
        <v>220</v>
      </c>
      <c r="F3" s="147" t="s">
        <v>221</v>
      </c>
      <c r="G3" s="146" t="s">
        <v>220</v>
      </c>
      <c r="H3" s="147" t="s">
        <v>221</v>
      </c>
      <c r="I3" s="146" t="s">
        <v>220</v>
      </c>
      <c r="J3" s="147" t="s">
        <v>221</v>
      </c>
      <c r="K3" s="146" t="s">
        <v>220</v>
      </c>
      <c r="L3" s="147" t="s">
        <v>221</v>
      </c>
      <c r="M3" s="146" t="s">
        <v>220</v>
      </c>
      <c r="N3" s="147" t="s">
        <v>221</v>
      </c>
      <c r="O3" s="146" t="s">
        <v>220</v>
      </c>
      <c r="P3" s="147" t="s">
        <v>221</v>
      </c>
    </row>
    <row r="4" spans="1:16" x14ac:dyDescent="0.2">
      <c r="A4" t="s">
        <v>4</v>
      </c>
      <c r="B4" s="202">
        <f t="shared" ref="B4" si="0">MAX(D4,F4,H4,J4,L4,N4,P4)</f>
        <v>1</v>
      </c>
      <c r="C4" s="148">
        <v>0.366842</v>
      </c>
      <c r="D4" s="149">
        <f>C4/C$4</f>
        <v>1</v>
      </c>
      <c r="E4" s="148">
        <v>0.38211400000000001</v>
      </c>
      <c r="F4" s="149">
        <f>E4/E$4</f>
        <v>1</v>
      </c>
      <c r="G4" s="148">
        <v>0.77414499999999997</v>
      </c>
      <c r="H4" s="149">
        <f>G4/G$4</f>
        <v>1</v>
      </c>
      <c r="I4" s="148">
        <v>0.42521500000000001</v>
      </c>
      <c r="J4" s="149">
        <f>I4/I$4</f>
        <v>1</v>
      </c>
      <c r="K4" s="148">
        <v>0.71957199999999999</v>
      </c>
      <c r="L4" s="149">
        <f t="shared" ref="L4:L13" si="1">K4/K$4</f>
        <v>1</v>
      </c>
      <c r="M4" s="148">
        <v>0.25654300000000002</v>
      </c>
      <c r="N4" s="149">
        <f t="shared" ref="N4:N13" si="2">M4/M$4</f>
        <v>1</v>
      </c>
      <c r="O4" s="148">
        <v>0.5736</v>
      </c>
      <c r="P4" s="149">
        <f>O4/O$4</f>
        <v>1</v>
      </c>
    </row>
    <row r="5" spans="1:16" x14ac:dyDescent="0.2">
      <c r="A5" t="s">
        <v>21</v>
      </c>
      <c r="B5" s="202">
        <f t="shared" ref="B5:B11" si="3">MAX(D5,F5,H5,J5,L5,N5,P5)</f>
        <v>0.12839042421532976</v>
      </c>
      <c r="C5" s="148">
        <f>SUM(C6:C11)</f>
        <v>4.7098999999999995E-2</v>
      </c>
      <c r="D5" s="149">
        <f>C5/C$4</f>
        <v>0.12839042421532976</v>
      </c>
      <c r="E5" s="148">
        <f>SUM(E6:E11)</f>
        <v>3.5792999999999998E-2</v>
      </c>
      <c r="F5" s="149">
        <f>E5/E$4</f>
        <v>9.3670998707192088E-2</v>
      </c>
      <c r="G5" s="148">
        <f>SUM(G6:G11)</f>
        <v>7.0051000000000002E-2</v>
      </c>
      <c r="H5" s="149">
        <f>G5/G$4</f>
        <v>9.0488216031880342E-2</v>
      </c>
      <c r="I5" s="148">
        <f>SUM(I6:I11)</f>
        <v>4.5178999999999997E-2</v>
      </c>
      <c r="J5" s="149">
        <f>I5/I$4</f>
        <v>0.10624977952329996</v>
      </c>
      <c r="K5" s="148">
        <f>SUM(K6:K11)</f>
        <v>6.275E-2</v>
      </c>
      <c r="L5" s="149">
        <f t="shared" si="1"/>
        <v>8.7204616077334859E-2</v>
      </c>
      <c r="M5" s="148">
        <f>SUM(M6:M11)</f>
        <v>5.0959999999999998E-3</v>
      </c>
      <c r="N5" s="149">
        <f t="shared" si="2"/>
        <v>1.9864116346967171E-2</v>
      </c>
      <c r="O5" s="148">
        <f>SUM(O7:O11)</f>
        <v>4.4999999999999998E-2</v>
      </c>
      <c r="P5" s="149">
        <f>O5/O$4</f>
        <v>7.8451882845188281E-2</v>
      </c>
    </row>
    <row r="6" spans="1:16" x14ac:dyDescent="0.2">
      <c r="A6" s="133" t="s">
        <v>226</v>
      </c>
      <c r="B6" s="202">
        <f t="shared" si="3"/>
        <v>1.1041207597732612E-2</v>
      </c>
      <c r="C6" s="148">
        <v>2.2439999999999999E-3</v>
      </c>
      <c r="D6" s="149">
        <f t="shared" ref="D6:D13" si="4">C6/C$4</f>
        <v>6.117074925989935E-3</v>
      </c>
      <c r="E6" s="148">
        <v>4.2189999999999997E-3</v>
      </c>
      <c r="F6" s="149">
        <f t="shared" ref="F6:F13" si="5">E6/E$4</f>
        <v>1.1041207597732612E-2</v>
      </c>
      <c r="G6" s="148">
        <v>1.1280000000000001E-3</v>
      </c>
      <c r="H6" s="149">
        <f t="shared" ref="H6:H13" si="6">G6/G$4</f>
        <v>1.4570913717714383E-3</v>
      </c>
      <c r="I6" s="148">
        <v>1.253E-3</v>
      </c>
      <c r="J6" s="149">
        <f t="shared" ref="J6:J13" si="7">I6/I$4</f>
        <v>2.9467445880319368E-3</v>
      </c>
      <c r="K6" s="148">
        <v>1.361E-3</v>
      </c>
      <c r="L6" s="149">
        <f t="shared" si="1"/>
        <v>1.8914021112550238E-3</v>
      </c>
      <c r="M6" s="148">
        <v>4.4200000000000001E-4</v>
      </c>
      <c r="N6" s="149">
        <f t="shared" si="2"/>
        <v>1.7229080505022549E-3</v>
      </c>
      <c r="O6" s="148"/>
      <c r="P6" s="149"/>
    </row>
    <row r="7" spans="1:16" x14ac:dyDescent="0.2">
      <c r="A7" t="s">
        <v>50</v>
      </c>
      <c r="B7" s="202">
        <f t="shared" si="3"/>
        <v>1.8209611608245239E-2</v>
      </c>
      <c r="C7" s="148">
        <v>3.287E-3</v>
      </c>
      <c r="D7" s="149">
        <f t="shared" si="4"/>
        <v>8.9602608207348129E-3</v>
      </c>
      <c r="E7" s="148">
        <v>1.8339999999999999E-3</v>
      </c>
      <c r="F7" s="149">
        <f t="shared" si="5"/>
        <v>4.7996147746484034E-3</v>
      </c>
      <c r="G7" s="148">
        <v>1.2926999999999999E-2</v>
      </c>
      <c r="H7" s="149">
        <f t="shared" si="6"/>
        <v>1.6698422130221081E-2</v>
      </c>
      <c r="I7" s="148">
        <v>7.7429999999999999E-3</v>
      </c>
      <c r="J7" s="149">
        <f t="shared" si="7"/>
        <v>1.8209611608245239E-2</v>
      </c>
      <c r="K7" s="148">
        <v>5.2170000000000003E-3</v>
      </c>
      <c r="L7" s="149">
        <f t="shared" si="1"/>
        <v>7.2501431406447169E-3</v>
      </c>
      <c r="M7" s="148">
        <v>2.3499999999999999E-4</v>
      </c>
      <c r="N7" s="149">
        <f t="shared" si="2"/>
        <v>9.1602577345708115E-4</v>
      </c>
      <c r="O7" s="148">
        <v>3.8999999999999998E-3</v>
      </c>
      <c r="P7" s="149">
        <f t="shared" ref="P7:P12" si="8">O7/O$4</f>
        <v>6.7991631799163175E-3</v>
      </c>
    </row>
    <row r="8" spans="1:16" x14ac:dyDescent="0.2">
      <c r="A8" t="s">
        <v>55</v>
      </c>
      <c r="B8" s="202">
        <f t="shared" si="3"/>
        <v>9.3834883529508584E-3</v>
      </c>
      <c r="C8" s="148">
        <v>3.1589999999999999E-3</v>
      </c>
      <c r="D8" s="149">
        <f t="shared" si="4"/>
        <v>8.6113367607852966E-3</v>
      </c>
      <c r="E8" s="148">
        <v>3.0660000000000001E-3</v>
      </c>
      <c r="F8" s="149">
        <f t="shared" si="5"/>
        <v>8.0237834782290098E-3</v>
      </c>
      <c r="G8" s="148">
        <v>2.6510000000000001E-3</v>
      </c>
      <c r="H8" s="149">
        <f t="shared" si="6"/>
        <v>3.4244230731968819E-3</v>
      </c>
      <c r="I8" s="148">
        <v>3.9899999999999996E-3</v>
      </c>
      <c r="J8" s="149">
        <f t="shared" si="7"/>
        <v>9.3834883529508584E-3</v>
      </c>
      <c r="K8" s="148">
        <v>3.0170000000000002E-3</v>
      </c>
      <c r="L8" s="149">
        <f t="shared" si="1"/>
        <v>4.1927701466983151E-3</v>
      </c>
      <c r="M8" s="148">
        <v>2.5900000000000001E-4</v>
      </c>
      <c r="N8" s="149">
        <f t="shared" si="2"/>
        <v>1.0095773418101449E-3</v>
      </c>
      <c r="O8" s="148">
        <v>4.4999999999999997E-3</v>
      </c>
      <c r="P8" s="149">
        <f t="shared" si="8"/>
        <v>7.8451882845188281E-3</v>
      </c>
    </row>
    <row r="9" spans="1:16" x14ac:dyDescent="0.2">
      <c r="A9" t="s">
        <v>217</v>
      </c>
      <c r="B9" s="202">
        <f t="shared" si="3"/>
        <v>5.2301255230125519E-4</v>
      </c>
      <c r="C9" s="148">
        <v>9.2999999999999997E-5</v>
      </c>
      <c r="D9" s="149">
        <f t="shared" si="4"/>
        <v>2.5351513730706952E-4</v>
      </c>
      <c r="E9" s="148">
        <v>7.3999999999999996E-5</v>
      </c>
      <c r="F9" s="149">
        <f t="shared" si="5"/>
        <v>1.93659483818965E-4</v>
      </c>
      <c r="G9" s="148">
        <v>5.5999999999999999E-5</v>
      </c>
      <c r="H9" s="149">
        <f t="shared" si="6"/>
        <v>7.2337869520567848E-5</v>
      </c>
      <c r="I9" s="148">
        <v>8.7000000000000001E-5</v>
      </c>
      <c r="J9" s="149">
        <f t="shared" si="7"/>
        <v>2.0460237762073304E-4</v>
      </c>
      <c r="K9" s="148">
        <v>4.1E-5</v>
      </c>
      <c r="L9" s="149">
        <f t="shared" si="1"/>
        <v>5.697831488718294E-5</v>
      </c>
      <c r="M9" s="148">
        <v>2.9E-5</v>
      </c>
      <c r="N9" s="149">
        <f t="shared" si="2"/>
        <v>1.1304147842661853E-4</v>
      </c>
      <c r="O9" s="148">
        <v>2.9999999999999997E-4</v>
      </c>
      <c r="P9" s="149">
        <f t="shared" si="8"/>
        <v>5.2301255230125519E-4</v>
      </c>
    </row>
    <row r="10" spans="1:16" x14ac:dyDescent="0.2">
      <c r="A10" t="s">
        <v>115</v>
      </c>
      <c r="B10" s="202">
        <f t="shared" si="3"/>
        <v>2.9637377963737796E-3</v>
      </c>
      <c r="C10" s="148">
        <v>4.2900000000000002E-4</v>
      </c>
      <c r="D10" s="149">
        <f t="shared" si="4"/>
        <v>1.1694407946745465E-3</v>
      </c>
      <c r="E10" s="148">
        <v>4.7899999999999999E-4</v>
      </c>
      <c r="F10" s="149">
        <f t="shared" si="5"/>
        <v>1.2535526047200572E-3</v>
      </c>
      <c r="G10" s="148">
        <v>2.9500000000000001E-4</v>
      </c>
      <c r="H10" s="149">
        <f t="shared" si="6"/>
        <v>3.810655626529914E-4</v>
      </c>
      <c r="I10" s="148">
        <v>4.0499999999999998E-4</v>
      </c>
      <c r="J10" s="149">
        <f t="shared" si="7"/>
        <v>9.5245934409651583E-4</v>
      </c>
      <c r="K10" s="148">
        <v>3.0299999999999999E-4</v>
      </c>
      <c r="L10" s="149">
        <f t="shared" si="1"/>
        <v>4.210836441662544E-4</v>
      </c>
      <c r="M10" s="148">
        <v>1.2799999999999999E-4</v>
      </c>
      <c r="N10" s="149">
        <f t="shared" si="2"/>
        <v>4.9894169788300587E-4</v>
      </c>
      <c r="O10" s="148">
        <v>1.6999999999999999E-3</v>
      </c>
      <c r="P10" s="149">
        <f t="shared" si="8"/>
        <v>2.9637377963737796E-3</v>
      </c>
    </row>
    <row r="11" spans="1:16" x14ac:dyDescent="0.2">
      <c r="A11" t="s">
        <v>108</v>
      </c>
      <c r="B11" s="202">
        <f t="shared" si="3"/>
        <v>0.10327879577583809</v>
      </c>
      <c r="C11" s="148">
        <v>3.7886999999999997E-2</v>
      </c>
      <c r="D11" s="149">
        <f t="shared" si="4"/>
        <v>0.10327879577583809</v>
      </c>
      <c r="E11" s="148">
        <v>2.6120999999999998E-2</v>
      </c>
      <c r="F11" s="149">
        <f t="shared" si="5"/>
        <v>6.8359180768043037E-2</v>
      </c>
      <c r="G11" s="148">
        <v>5.2993999999999999E-2</v>
      </c>
      <c r="H11" s="149">
        <f t="shared" si="6"/>
        <v>6.8454876024517372E-2</v>
      </c>
      <c r="I11" s="148">
        <v>3.1701E-2</v>
      </c>
      <c r="J11" s="149">
        <f t="shared" si="7"/>
        <v>7.4552873252354684E-2</v>
      </c>
      <c r="K11" s="148">
        <v>5.2810999999999997E-2</v>
      </c>
      <c r="L11" s="149">
        <f t="shared" si="1"/>
        <v>7.3392238719683367E-2</v>
      </c>
      <c r="M11" s="148">
        <v>4.0029999999999996E-3</v>
      </c>
      <c r="N11" s="149">
        <f t="shared" si="2"/>
        <v>1.5603622004888067E-2</v>
      </c>
      <c r="O11" s="148">
        <v>3.4599999999999999E-2</v>
      </c>
      <c r="P11" s="149">
        <f t="shared" si="8"/>
        <v>6.0320781032078101E-2</v>
      </c>
    </row>
    <row r="12" spans="1:16" x14ac:dyDescent="0.2">
      <c r="A12" t="s">
        <v>218</v>
      </c>
      <c r="B12" s="202">
        <f>MAX(D12,F12,H12,J12,L12,N12,P12)*21</f>
        <v>48.040683238287535</v>
      </c>
      <c r="C12" s="148">
        <v>1.3682E-2</v>
      </c>
      <c r="D12" s="149">
        <f t="shared" si="4"/>
        <v>3.7296710845541134E-2</v>
      </c>
      <c r="E12" s="148">
        <v>0.21243300000000001</v>
      </c>
      <c r="F12" s="149">
        <f t="shared" si="5"/>
        <v>0.55594142062316487</v>
      </c>
      <c r="G12" s="148">
        <v>6.8122000000000002E-2</v>
      </c>
      <c r="H12" s="149">
        <f t="shared" si="6"/>
        <v>8.7996434776430779E-2</v>
      </c>
      <c r="I12" s="148">
        <v>7.2664999999999993E-2</v>
      </c>
      <c r="J12" s="149">
        <f t="shared" si="7"/>
        <v>0.17089002034265016</v>
      </c>
      <c r="K12" s="148">
        <v>9.1284000000000004E-2</v>
      </c>
      <c r="L12" s="149">
        <f t="shared" si="1"/>
        <v>0.1268587438088197</v>
      </c>
      <c r="M12" s="148">
        <v>0.58688099999999999</v>
      </c>
      <c r="N12" s="149">
        <f t="shared" si="2"/>
        <v>2.287651582775597</v>
      </c>
      <c r="O12" s="148">
        <v>0.17219999999999999</v>
      </c>
      <c r="P12" s="149">
        <f t="shared" si="8"/>
        <v>0.30020920502092047</v>
      </c>
    </row>
    <row r="13" spans="1:16" x14ac:dyDescent="0.2">
      <c r="A13" t="s">
        <v>219</v>
      </c>
      <c r="B13" s="202">
        <f>MAX(D13,F13,H13,J13,L13,N13,P13)</f>
        <v>3.728029998869585E-2</v>
      </c>
      <c r="C13" s="148">
        <v>2.7330000000000002E-3</v>
      </c>
      <c r="D13" s="149">
        <f t="shared" si="4"/>
        <v>7.4500738737658181E-3</v>
      </c>
      <c r="E13" s="148">
        <v>9.1570000000000002E-3</v>
      </c>
      <c r="F13" s="149">
        <f t="shared" si="5"/>
        <v>2.3964052612571118E-2</v>
      </c>
      <c r="G13" s="148">
        <v>6.4000000000000003E-3</v>
      </c>
      <c r="H13" s="149">
        <f t="shared" si="6"/>
        <v>8.2671850880648989E-3</v>
      </c>
      <c r="I13" s="148">
        <v>7.0850000000000002E-3</v>
      </c>
      <c r="J13" s="149">
        <f t="shared" si="7"/>
        <v>1.6662159143021764E-2</v>
      </c>
      <c r="K13" s="148">
        <v>8.5089999999999992E-3</v>
      </c>
      <c r="L13" s="149">
        <f t="shared" si="1"/>
        <v>1.182508491158633E-2</v>
      </c>
      <c r="M13" s="148">
        <v>9.5639999999999996E-3</v>
      </c>
      <c r="N13" s="149">
        <f t="shared" si="2"/>
        <v>3.728029998869585E-2</v>
      </c>
      <c r="O13" s="148"/>
      <c r="P13" s="149"/>
    </row>
    <row r="15" spans="1:16" x14ac:dyDescent="0.2">
      <c r="C15" s="130" t="s">
        <v>281</v>
      </c>
      <c r="D15" s="231">
        <f>AVERAGE(C4,E4,G4,I4,K4,M4,O4)</f>
        <v>0.49971871428571429</v>
      </c>
    </row>
    <row r="18" spans="1:32" x14ac:dyDescent="0.2">
      <c r="A18" s="133" t="s">
        <v>228</v>
      </c>
      <c r="B18" s="139">
        <f>Dehy!B17</f>
        <v>2</v>
      </c>
      <c r="C18" s="133" t="s">
        <v>225</v>
      </c>
      <c r="D18" s="155">
        <f>'7.1'!F22</f>
        <v>0.98</v>
      </c>
      <c r="E18" s="133" t="s">
        <v>227</v>
      </c>
    </row>
    <row r="19" spans="1:32" x14ac:dyDescent="0.2">
      <c r="A19" s="133"/>
      <c r="B19" s="197"/>
      <c r="C19" s="139"/>
      <c r="D19" s="133"/>
      <c r="F19" s="155"/>
      <c r="G19" s="133"/>
    </row>
    <row r="20" spans="1:32" x14ac:dyDescent="0.2">
      <c r="A20" s="133"/>
      <c r="B20" s="197"/>
      <c r="C20" s="256" t="s">
        <v>241</v>
      </c>
      <c r="D20" s="257"/>
      <c r="E20" s="258"/>
      <c r="F20" s="256" t="s">
        <v>242</v>
      </c>
      <c r="G20" s="257"/>
      <c r="H20" s="258"/>
      <c r="I20" s="256" t="s">
        <v>244</v>
      </c>
      <c r="J20" s="257"/>
      <c r="K20" s="258"/>
      <c r="L20" s="256" t="s">
        <v>245</v>
      </c>
      <c r="M20" s="257"/>
      <c r="N20" s="258"/>
      <c r="O20" s="256" t="s">
        <v>246</v>
      </c>
      <c r="P20" s="257"/>
      <c r="Q20" s="258"/>
      <c r="R20" s="256" t="s">
        <v>247</v>
      </c>
      <c r="S20" s="257"/>
      <c r="T20" s="258"/>
      <c r="U20" s="256" t="s">
        <v>248</v>
      </c>
      <c r="V20" s="257"/>
      <c r="W20" s="258"/>
      <c r="X20" s="256" t="s">
        <v>249</v>
      </c>
      <c r="Y20" s="257"/>
      <c r="Z20" s="258"/>
      <c r="AA20" s="256" t="s">
        <v>250</v>
      </c>
      <c r="AB20" s="257"/>
      <c r="AC20" s="258"/>
      <c r="AD20" s="256" t="s">
        <v>251</v>
      </c>
      <c r="AE20" s="257"/>
      <c r="AF20" s="258"/>
    </row>
    <row r="21" spans="1:32" x14ac:dyDescent="0.2">
      <c r="A21" s="133" t="s">
        <v>214</v>
      </c>
      <c r="B21" s="197"/>
      <c r="C21" s="199">
        <v>45</v>
      </c>
      <c r="D21" s="152" t="s">
        <v>225</v>
      </c>
      <c r="E21" s="200"/>
      <c r="F21" s="199">
        <v>12</v>
      </c>
      <c r="G21" s="152" t="s">
        <v>225</v>
      </c>
      <c r="H21" s="200"/>
      <c r="I21" s="199">
        <v>6</v>
      </c>
      <c r="J21" s="152" t="s">
        <v>225</v>
      </c>
      <c r="K21" s="200"/>
      <c r="L21" s="199">
        <v>20</v>
      </c>
      <c r="M21" s="152" t="s">
        <v>225</v>
      </c>
      <c r="N21" s="200"/>
      <c r="O21" s="199">
        <v>15</v>
      </c>
      <c r="P21" s="152" t="s">
        <v>225</v>
      </c>
      <c r="Q21" s="200"/>
      <c r="R21" s="199">
        <v>22</v>
      </c>
      <c r="S21" s="152" t="s">
        <v>225</v>
      </c>
      <c r="T21" s="200"/>
      <c r="U21" s="199">
        <v>12</v>
      </c>
      <c r="V21" s="152" t="s">
        <v>225</v>
      </c>
      <c r="W21" s="200"/>
      <c r="X21" s="199">
        <v>30</v>
      </c>
      <c r="Y21" s="152" t="s">
        <v>225</v>
      </c>
      <c r="Z21" s="200"/>
      <c r="AA21" s="199">
        <v>40</v>
      </c>
      <c r="AB21" s="152" t="s">
        <v>225</v>
      </c>
      <c r="AC21" s="200"/>
      <c r="AD21" s="199">
        <v>12</v>
      </c>
      <c r="AE21" s="152" t="s">
        <v>225</v>
      </c>
      <c r="AF21" s="200"/>
    </row>
    <row r="22" spans="1:32" x14ac:dyDescent="0.2">
      <c r="B22" s="201" t="s">
        <v>252</v>
      </c>
      <c r="C22" s="145" t="s">
        <v>5</v>
      </c>
      <c r="D22" s="255" t="s">
        <v>224</v>
      </c>
      <c r="E22" s="245"/>
      <c r="F22" s="145"/>
      <c r="G22" s="255" t="s">
        <v>224</v>
      </c>
      <c r="H22" s="245"/>
      <c r="I22" s="145"/>
      <c r="J22" s="255" t="s">
        <v>224</v>
      </c>
      <c r="K22" s="245"/>
      <c r="L22" s="145"/>
      <c r="M22" s="255" t="s">
        <v>224</v>
      </c>
      <c r="N22" s="245"/>
      <c r="O22" s="145"/>
      <c r="P22" s="255" t="s">
        <v>224</v>
      </c>
      <c r="Q22" s="245"/>
      <c r="R22" s="145"/>
      <c r="S22" s="255" t="s">
        <v>224</v>
      </c>
      <c r="T22" s="245"/>
      <c r="U22" s="145"/>
      <c r="V22" s="255" t="s">
        <v>224</v>
      </c>
      <c r="W22" s="245"/>
      <c r="X22" s="145"/>
      <c r="Y22" s="255" t="s">
        <v>224</v>
      </c>
      <c r="Z22" s="245"/>
      <c r="AA22" s="145"/>
      <c r="AB22" s="255" t="s">
        <v>224</v>
      </c>
      <c r="AC22" s="245"/>
      <c r="AD22" s="145"/>
      <c r="AE22" s="255" t="s">
        <v>224</v>
      </c>
      <c r="AF22" s="245"/>
    </row>
    <row r="23" spans="1:32" x14ac:dyDescent="0.2">
      <c r="B23" s="197" t="s">
        <v>243</v>
      </c>
      <c r="C23" s="145" t="s">
        <v>243</v>
      </c>
      <c r="D23" s="150" t="s">
        <v>5</v>
      </c>
      <c r="E23" s="153" t="s">
        <v>199</v>
      </c>
      <c r="F23" s="145" t="s">
        <v>5</v>
      </c>
      <c r="G23" s="150" t="s">
        <v>5</v>
      </c>
      <c r="H23" s="153" t="s">
        <v>199</v>
      </c>
      <c r="I23" s="145" t="s">
        <v>5</v>
      </c>
      <c r="J23" s="150" t="s">
        <v>5</v>
      </c>
      <c r="K23" s="153" t="s">
        <v>199</v>
      </c>
      <c r="L23" s="145" t="s">
        <v>5</v>
      </c>
      <c r="M23" s="150" t="s">
        <v>5</v>
      </c>
      <c r="N23" s="153" t="s">
        <v>199</v>
      </c>
      <c r="O23" s="145" t="s">
        <v>5</v>
      </c>
      <c r="P23" s="150" t="s">
        <v>5</v>
      </c>
      <c r="Q23" s="153" t="s">
        <v>199</v>
      </c>
      <c r="R23" s="145" t="s">
        <v>5</v>
      </c>
      <c r="S23" s="150" t="s">
        <v>5</v>
      </c>
      <c r="T23" s="153" t="s">
        <v>199</v>
      </c>
      <c r="U23" s="145" t="s">
        <v>5</v>
      </c>
      <c r="V23" s="150" t="s">
        <v>5</v>
      </c>
      <c r="W23" s="153" t="s">
        <v>199</v>
      </c>
      <c r="X23" s="145" t="s">
        <v>5</v>
      </c>
      <c r="Y23" s="150" t="s">
        <v>5</v>
      </c>
      <c r="Z23" s="153" t="s">
        <v>199</v>
      </c>
      <c r="AA23" s="145" t="s">
        <v>5</v>
      </c>
      <c r="AB23" s="150" t="s">
        <v>5</v>
      </c>
      <c r="AC23" s="153" t="s">
        <v>199</v>
      </c>
      <c r="AD23" s="145" t="s">
        <v>5</v>
      </c>
      <c r="AE23" s="150" t="s">
        <v>5</v>
      </c>
      <c r="AF23" s="153" t="s">
        <v>199</v>
      </c>
    </row>
    <row r="24" spans="1:32" x14ac:dyDescent="0.2">
      <c r="A24" t="s">
        <v>4</v>
      </c>
      <c r="B24" s="203">
        <f>MAX(E24,H24,K24,N24,Q24,T24,W24,Z24,AC24,AF24)</f>
        <v>0.92703644444444522</v>
      </c>
      <c r="C24" s="154">
        <v>1042.9159999999999</v>
      </c>
      <c r="D24" s="151">
        <f t="shared" ref="D24:D32" si="9">C24/C$21*$B$18</f>
        <v>46.351822222222218</v>
      </c>
      <c r="E24" s="156">
        <f t="shared" ref="E24:E32" si="10">D24*(1-$D$18)</f>
        <v>0.92703644444444522</v>
      </c>
      <c r="F24" s="154">
        <f>32.5403+43.4869</f>
        <v>76.027199999999993</v>
      </c>
      <c r="G24" s="151">
        <f t="shared" ref="G24:G32" si="11">F24/F$21*$B$18</f>
        <v>12.671199999999999</v>
      </c>
      <c r="H24" s="156">
        <f t="shared" ref="H24:H32" si="12">G24*(1-$D$18)</f>
        <v>0.2534240000000002</v>
      </c>
      <c r="I24" s="154">
        <v>11.199400000000001</v>
      </c>
      <c r="J24" s="151">
        <f t="shared" ref="J24:J32" si="13">I24/I$21*$B$18</f>
        <v>3.7331333333333334</v>
      </c>
      <c r="K24" s="156">
        <f t="shared" ref="K24:K32" si="14">J24*(1-$D$18)</f>
        <v>7.4662666666666738E-2</v>
      </c>
      <c r="L24" s="154">
        <f>0.1663+32.2898</f>
        <v>32.456099999999999</v>
      </c>
      <c r="M24" s="151">
        <f t="shared" ref="M24:M32" si="15">L24/L$21*$B$18</f>
        <v>3.2456100000000001</v>
      </c>
      <c r="N24" s="156">
        <f t="shared" ref="N24:N32" si="16">M24*(1-$D$18)</f>
        <v>6.4912200000000059E-2</v>
      </c>
      <c r="O24" s="154">
        <f>40.2182+23.7571</f>
        <v>63.975300000000004</v>
      </c>
      <c r="P24" s="151">
        <f t="shared" ref="P24:P32" si="17">O24/O$21*$B$18</f>
        <v>8.5300400000000014</v>
      </c>
      <c r="Q24" s="156">
        <f t="shared" ref="Q24:Q32" si="18">P24*(1-$D$18)</f>
        <v>0.17060080000000019</v>
      </c>
      <c r="R24" s="154">
        <f>31.9647+48.7252</f>
        <v>80.689899999999994</v>
      </c>
      <c r="S24" s="151">
        <f t="shared" ref="S24:S32" si="19">R24/R$21*$B$18</f>
        <v>7.3354454545454537</v>
      </c>
      <c r="T24" s="156">
        <f t="shared" ref="T24:T32" si="20">S24*(1-$D$18)</f>
        <v>0.1467089090909092</v>
      </c>
      <c r="U24" s="154">
        <f>52.9107+41.4833</f>
        <v>94.394000000000005</v>
      </c>
      <c r="V24" s="151">
        <f t="shared" ref="V24:V32" si="21">U24/U$21*$B$18</f>
        <v>15.732333333333335</v>
      </c>
      <c r="W24" s="156">
        <f t="shared" ref="W24:W32" si="22">V24*(1-$D$18)</f>
        <v>0.31464666666666696</v>
      </c>
      <c r="X24" s="154">
        <v>71.397400000000005</v>
      </c>
      <c r="Y24" s="151">
        <f t="shared" ref="Y24:Y32" si="23">X24/X$21*$B$18</f>
        <v>4.7598266666666671</v>
      </c>
      <c r="Z24" s="156">
        <f t="shared" ref="Z24:Z32" si="24">Y24*(1-$D$18)</f>
        <v>9.519653333333343E-2</v>
      </c>
      <c r="AA24" s="154">
        <v>69.068899999999999</v>
      </c>
      <c r="AB24" s="151">
        <f t="shared" ref="AB24:AB32" si="25">AA24/AA$21*$B$18</f>
        <v>3.4534449999999999</v>
      </c>
      <c r="AC24" s="156">
        <f t="shared" ref="AC24:AC32" si="26">AB24*(1-$D$18)</f>
        <v>6.9068900000000058E-2</v>
      </c>
      <c r="AD24" s="154">
        <f>10.9652+19.817</f>
        <v>30.7822</v>
      </c>
      <c r="AE24" s="151">
        <f t="shared" ref="AE24:AE32" si="27">AD24/AD$21*$B$18</f>
        <v>5.1303666666666663</v>
      </c>
      <c r="AF24" s="156">
        <f t="shared" ref="AF24:AF32" si="28">AE24*(1-$D$18)</f>
        <v>0.10260733333333341</v>
      </c>
    </row>
    <row r="25" spans="1:32" x14ac:dyDescent="0.2">
      <c r="A25" t="s">
        <v>21</v>
      </c>
      <c r="B25" s="203">
        <f t="shared" ref="B25:B32" si="29">MAX(E25,H25,K25,N25,Q25,T25,W25,Z25,AC25,AF25)</f>
        <v>0.41062675555555594</v>
      </c>
      <c r="C25" s="154">
        <f>SUM(C26:C31)</f>
        <v>461.95510000000002</v>
      </c>
      <c r="D25" s="151">
        <f t="shared" si="9"/>
        <v>20.531337777777779</v>
      </c>
      <c r="E25" s="156">
        <f t="shared" si="10"/>
        <v>0.41062675555555594</v>
      </c>
      <c r="F25" s="154">
        <f>SUM(F26:F31)</f>
        <v>18.9406</v>
      </c>
      <c r="G25" s="151">
        <f t="shared" si="11"/>
        <v>3.1567666666666665</v>
      </c>
      <c r="H25" s="156">
        <f t="shared" si="12"/>
        <v>6.313533333333339E-2</v>
      </c>
      <c r="I25" s="154">
        <f>SUM(I26:I31)</f>
        <v>4.1273</v>
      </c>
      <c r="J25" s="151">
        <f t="shared" si="13"/>
        <v>1.3757666666666666</v>
      </c>
      <c r="K25" s="156">
        <f t="shared" si="14"/>
        <v>2.7515333333333357E-2</v>
      </c>
      <c r="L25" s="154">
        <f>SUM(L26:L31)</f>
        <v>19.322399999999998</v>
      </c>
      <c r="M25" s="151">
        <f t="shared" si="15"/>
        <v>1.9322399999999997</v>
      </c>
      <c r="N25" s="156">
        <f t="shared" si="16"/>
        <v>3.8644800000000028E-2</v>
      </c>
      <c r="O25" s="154">
        <f>SUM(O26:O31)</f>
        <v>18.966300000000004</v>
      </c>
      <c r="P25" s="151">
        <f t="shared" si="17"/>
        <v>2.5288400000000006</v>
      </c>
      <c r="Q25" s="156">
        <f t="shared" si="18"/>
        <v>5.0576800000000061E-2</v>
      </c>
      <c r="R25" s="154">
        <f>SUM(R26:R31)</f>
        <v>20.008099999999995</v>
      </c>
      <c r="S25" s="151">
        <f t="shared" si="19"/>
        <v>1.8189181818181814</v>
      </c>
      <c r="T25" s="156">
        <f t="shared" si="20"/>
        <v>3.637836363636366E-2</v>
      </c>
      <c r="U25" s="154">
        <f>SUM(U26:U31)</f>
        <v>21.346699999999998</v>
      </c>
      <c r="V25" s="151">
        <f t="shared" si="21"/>
        <v>3.5577833333333331</v>
      </c>
      <c r="W25" s="156">
        <f t="shared" si="22"/>
        <v>7.1155666666666728E-2</v>
      </c>
      <c r="X25" s="154">
        <f>SUM(X26:X31)</f>
        <v>10.886299999999999</v>
      </c>
      <c r="Y25" s="151">
        <f t="shared" si="23"/>
        <v>0.72575333333333325</v>
      </c>
      <c r="Z25" s="156">
        <f t="shared" si="24"/>
        <v>1.4515066666666679E-2</v>
      </c>
      <c r="AA25" s="154">
        <f>SUM(AA26:AA31)</f>
        <v>9.8132000000000001</v>
      </c>
      <c r="AB25" s="151">
        <f t="shared" si="25"/>
        <v>0.49065999999999999</v>
      </c>
      <c r="AC25" s="156">
        <f t="shared" si="26"/>
        <v>9.813200000000008E-3</v>
      </c>
      <c r="AD25" s="154">
        <f>SUM(AD26:AD31)</f>
        <v>4.3279000000000005</v>
      </c>
      <c r="AE25" s="151">
        <f t="shared" si="27"/>
        <v>0.72131666666666672</v>
      </c>
      <c r="AF25" s="156">
        <f t="shared" si="28"/>
        <v>1.4426333333333347E-2</v>
      </c>
    </row>
    <row r="26" spans="1:32" x14ac:dyDescent="0.2">
      <c r="A26" t="s">
        <v>50</v>
      </c>
      <c r="B26" s="203">
        <f t="shared" si="29"/>
        <v>0.11954311111111121</v>
      </c>
      <c r="C26" s="154">
        <v>134.48599999999999</v>
      </c>
      <c r="D26" s="151">
        <f t="shared" si="9"/>
        <v>5.9771555555555551</v>
      </c>
      <c r="E26" s="156">
        <f t="shared" si="10"/>
        <v>0.11954311111111121</v>
      </c>
      <c r="F26" s="154">
        <f>4.3401+0.3381</f>
        <v>4.6781999999999995</v>
      </c>
      <c r="G26" s="151">
        <f t="shared" si="11"/>
        <v>0.77969999999999995</v>
      </c>
      <c r="H26" s="156">
        <f t="shared" si="12"/>
        <v>1.5594000000000012E-2</v>
      </c>
      <c r="I26" s="154">
        <v>0.42630000000000001</v>
      </c>
      <c r="J26" s="151">
        <f t="shared" si="13"/>
        <v>0.1421</v>
      </c>
      <c r="K26" s="156">
        <f t="shared" si="14"/>
        <v>2.8420000000000025E-3</v>
      </c>
      <c r="L26" s="198">
        <f>0.0224+2.6257</f>
        <v>2.6481000000000003</v>
      </c>
      <c r="M26" s="151">
        <f t="shared" si="15"/>
        <v>0.26481000000000005</v>
      </c>
      <c r="N26" s="156">
        <f t="shared" si="16"/>
        <v>5.2962000000000052E-3</v>
      </c>
      <c r="O26" s="198">
        <f>13.4312+0.1804</f>
        <v>13.611600000000001</v>
      </c>
      <c r="P26" s="151">
        <f t="shared" si="17"/>
        <v>1.81488</v>
      </c>
      <c r="Q26" s="156">
        <f t="shared" si="18"/>
        <v>3.6297600000000034E-2</v>
      </c>
      <c r="R26" s="198">
        <f>12.0148+0.1676</f>
        <v>12.182399999999999</v>
      </c>
      <c r="S26" s="151">
        <f t="shared" si="19"/>
        <v>1.1074909090909091</v>
      </c>
      <c r="T26" s="156">
        <f t="shared" si="20"/>
        <v>2.2149818181818201E-2</v>
      </c>
      <c r="U26" s="198">
        <f>15.2373+0.2327</f>
        <v>15.469999999999999</v>
      </c>
      <c r="V26" s="151">
        <f t="shared" si="21"/>
        <v>2.5783333333333331</v>
      </c>
      <c r="W26" s="156">
        <f t="shared" si="22"/>
        <v>5.1566666666666712E-2</v>
      </c>
      <c r="X26" s="198">
        <v>4.5442999999999998</v>
      </c>
      <c r="Y26" s="151">
        <f t="shared" si="23"/>
        <v>0.3029533333333333</v>
      </c>
      <c r="Z26" s="156">
        <f t="shared" si="24"/>
        <v>6.0590666666666716E-3</v>
      </c>
      <c r="AA26" s="198">
        <v>4.1036000000000001</v>
      </c>
      <c r="AB26" s="151">
        <f t="shared" si="25"/>
        <v>0.20518</v>
      </c>
      <c r="AC26" s="156">
        <f t="shared" si="26"/>
        <v>4.1036000000000033E-3</v>
      </c>
      <c r="AD26" s="198">
        <f>1.7577+0.0455</f>
        <v>1.8032000000000001</v>
      </c>
      <c r="AE26" s="151">
        <f t="shared" si="27"/>
        <v>0.30053333333333337</v>
      </c>
      <c r="AF26" s="156">
        <f t="shared" si="28"/>
        <v>6.0106666666666728E-3</v>
      </c>
    </row>
    <row r="27" spans="1:32" x14ac:dyDescent="0.2">
      <c r="A27" t="s">
        <v>55</v>
      </c>
      <c r="B27" s="203">
        <f t="shared" si="29"/>
        <v>0.13271484444444456</v>
      </c>
      <c r="C27" s="154">
        <v>149.30420000000001</v>
      </c>
      <c r="D27" s="151">
        <f t="shared" si="9"/>
        <v>6.6357422222222224</v>
      </c>
      <c r="E27" s="156">
        <f t="shared" si="10"/>
        <v>0.13271484444444456</v>
      </c>
      <c r="F27" s="154">
        <f>6.1249+0.2848</f>
        <v>6.4097</v>
      </c>
      <c r="G27" s="151">
        <f t="shared" si="11"/>
        <v>1.0682833333333333</v>
      </c>
      <c r="H27" s="156">
        <f t="shared" si="12"/>
        <v>2.1365666666666686E-2</v>
      </c>
      <c r="I27" s="154">
        <v>1.1664000000000001</v>
      </c>
      <c r="J27" s="151">
        <f t="shared" si="13"/>
        <v>0.38880000000000003</v>
      </c>
      <c r="K27" s="156">
        <f t="shared" si="14"/>
        <v>7.7760000000000077E-3</v>
      </c>
      <c r="L27" s="154">
        <f>0.0291+7.8673</f>
        <v>7.8963999999999999</v>
      </c>
      <c r="M27" s="151">
        <f t="shared" si="15"/>
        <v>0.78964000000000001</v>
      </c>
      <c r="N27" s="156">
        <f t="shared" si="16"/>
        <v>1.5792800000000013E-2</v>
      </c>
      <c r="O27" s="154">
        <f>0.0247+2.9435</f>
        <v>2.9681999999999999</v>
      </c>
      <c r="P27" s="151">
        <f t="shared" si="17"/>
        <v>0.39576</v>
      </c>
      <c r="Q27" s="156">
        <f t="shared" si="18"/>
        <v>7.9152000000000076E-3</v>
      </c>
      <c r="R27" s="154">
        <f>0.0381+4.3685</f>
        <v>4.4066000000000001</v>
      </c>
      <c r="S27" s="151">
        <f t="shared" si="19"/>
        <v>0.40060000000000001</v>
      </c>
      <c r="T27" s="156">
        <f t="shared" si="20"/>
        <v>8.012000000000007E-3</v>
      </c>
      <c r="U27" s="154">
        <f>2.7362+0.026</f>
        <v>2.7622</v>
      </c>
      <c r="V27" s="151">
        <f t="shared" si="21"/>
        <v>0.46036666666666665</v>
      </c>
      <c r="W27" s="156">
        <f t="shared" si="22"/>
        <v>9.2073333333333417E-3</v>
      </c>
      <c r="X27" s="154">
        <v>3.3487</v>
      </c>
      <c r="Y27" s="151">
        <f t="shared" si="23"/>
        <v>0.22324666666666668</v>
      </c>
      <c r="Z27" s="156">
        <f t="shared" si="24"/>
        <v>4.4649333333333374E-3</v>
      </c>
      <c r="AA27" s="154">
        <v>2.9714999999999998</v>
      </c>
      <c r="AB27" s="151">
        <f t="shared" si="25"/>
        <v>0.14857499999999998</v>
      </c>
      <c r="AC27" s="156">
        <f t="shared" si="26"/>
        <v>2.9715000000000024E-3</v>
      </c>
      <c r="AD27" s="154">
        <f>0.0192+1.2853</f>
        <v>1.3045000000000002</v>
      </c>
      <c r="AE27" s="151">
        <f t="shared" si="27"/>
        <v>0.2174166666666667</v>
      </c>
      <c r="AF27" s="156">
        <f t="shared" si="28"/>
        <v>4.3483333333333377E-3</v>
      </c>
    </row>
    <row r="28" spans="1:32" x14ac:dyDescent="0.2">
      <c r="A28" t="s">
        <v>217</v>
      </c>
      <c r="B28" s="203">
        <f t="shared" si="29"/>
        <v>7.3943111111111183E-3</v>
      </c>
      <c r="C28" s="154">
        <v>8.3186</v>
      </c>
      <c r="D28" s="151">
        <f t="shared" si="9"/>
        <v>0.36971555555555558</v>
      </c>
      <c r="E28" s="156">
        <f t="shared" si="10"/>
        <v>7.3943111111111183E-3</v>
      </c>
      <c r="F28" s="154">
        <f>0.5254+0.0131</f>
        <v>0.53849999999999998</v>
      </c>
      <c r="G28" s="151">
        <f t="shared" si="11"/>
        <v>8.9749999999999996E-2</v>
      </c>
      <c r="H28" s="156">
        <f t="shared" si="12"/>
        <v>1.7950000000000015E-3</v>
      </c>
      <c r="I28" s="154">
        <v>0.43869999999999998</v>
      </c>
      <c r="J28" s="151">
        <f t="shared" si="13"/>
        <v>0.14623333333333333</v>
      </c>
      <c r="K28" s="156">
        <f t="shared" si="14"/>
        <v>2.9246666666666692E-3</v>
      </c>
      <c r="L28" s="154">
        <f>0.7433+0.0009</f>
        <v>0.74419999999999997</v>
      </c>
      <c r="M28" s="151">
        <f t="shared" si="15"/>
        <v>7.442E-2</v>
      </c>
      <c r="N28" s="156">
        <f t="shared" si="16"/>
        <v>1.4884000000000013E-3</v>
      </c>
      <c r="O28" s="154"/>
      <c r="P28" s="151">
        <f t="shared" si="17"/>
        <v>0</v>
      </c>
      <c r="Q28" s="156">
        <f t="shared" si="18"/>
        <v>0</v>
      </c>
      <c r="R28" s="154"/>
      <c r="S28" s="151">
        <f t="shared" si="19"/>
        <v>0</v>
      </c>
      <c r="T28" s="156">
        <f t="shared" si="20"/>
        <v>0</v>
      </c>
      <c r="U28" s="154"/>
      <c r="V28" s="151">
        <f t="shared" si="21"/>
        <v>0</v>
      </c>
      <c r="W28" s="156">
        <f t="shared" si="22"/>
        <v>0</v>
      </c>
      <c r="X28" s="154"/>
      <c r="Y28" s="151">
        <f t="shared" si="23"/>
        <v>0</v>
      </c>
      <c r="Z28" s="156">
        <f t="shared" si="24"/>
        <v>0</v>
      </c>
      <c r="AA28" s="154"/>
      <c r="AB28" s="151">
        <f t="shared" si="25"/>
        <v>0</v>
      </c>
      <c r="AC28" s="156">
        <f t="shared" si="26"/>
        <v>0</v>
      </c>
      <c r="AD28" s="154"/>
      <c r="AE28" s="151">
        <f t="shared" si="27"/>
        <v>0</v>
      </c>
      <c r="AF28" s="156">
        <f t="shared" si="28"/>
        <v>0</v>
      </c>
    </row>
    <row r="29" spans="1:32" x14ac:dyDescent="0.2">
      <c r="A29" t="s">
        <v>115</v>
      </c>
      <c r="B29" s="203">
        <f t="shared" si="29"/>
        <v>0.11501155555555566</v>
      </c>
      <c r="C29" s="154">
        <v>129.38800000000001</v>
      </c>
      <c r="D29" s="151">
        <f t="shared" si="9"/>
        <v>5.750577777777778</v>
      </c>
      <c r="E29" s="156">
        <f t="shared" si="10"/>
        <v>0.11501155555555566</v>
      </c>
      <c r="F29" s="154">
        <f>4.0112+0.0661</f>
        <v>4.0772999999999993</v>
      </c>
      <c r="G29" s="151">
        <f t="shared" si="11"/>
        <v>0.67954999999999988</v>
      </c>
      <c r="H29" s="156">
        <f t="shared" si="12"/>
        <v>1.3591000000000009E-2</v>
      </c>
      <c r="I29" s="154">
        <v>1.8698999999999999</v>
      </c>
      <c r="J29" s="151">
        <f t="shared" si="13"/>
        <v>0.62329999999999997</v>
      </c>
      <c r="K29" s="156">
        <f t="shared" si="14"/>
        <v>1.246600000000001E-2</v>
      </c>
      <c r="L29" s="154">
        <f>0.0083+7.7004</f>
        <v>7.7087000000000003</v>
      </c>
      <c r="M29" s="151">
        <f t="shared" si="15"/>
        <v>0.77087000000000006</v>
      </c>
      <c r="N29" s="156">
        <f t="shared" si="16"/>
        <v>1.5417400000000015E-2</v>
      </c>
      <c r="O29" s="154"/>
      <c r="P29" s="151">
        <f t="shared" si="17"/>
        <v>0</v>
      </c>
      <c r="Q29" s="156">
        <f t="shared" si="18"/>
        <v>0</v>
      </c>
      <c r="R29" s="154">
        <f>0.4592+0.0016</f>
        <v>0.46079999999999999</v>
      </c>
      <c r="S29" s="151">
        <f t="shared" si="19"/>
        <v>4.189090909090909E-2</v>
      </c>
      <c r="T29" s="156">
        <f t="shared" si="20"/>
        <v>8.3781818181818252E-4</v>
      </c>
      <c r="U29" s="154"/>
      <c r="V29" s="151">
        <f t="shared" si="21"/>
        <v>0</v>
      </c>
      <c r="W29" s="156">
        <f t="shared" si="22"/>
        <v>0</v>
      </c>
      <c r="X29" s="154">
        <v>0.61660000000000004</v>
      </c>
      <c r="Y29" s="151">
        <f t="shared" si="23"/>
        <v>4.1106666666666666E-2</v>
      </c>
      <c r="Z29" s="156">
        <f t="shared" si="24"/>
        <v>8.2213333333333409E-4</v>
      </c>
      <c r="AA29" s="154">
        <v>0.54669999999999996</v>
      </c>
      <c r="AB29" s="151">
        <f t="shared" si="25"/>
        <v>2.7334999999999998E-2</v>
      </c>
      <c r="AC29" s="156">
        <f t="shared" si="26"/>
        <v>5.4670000000000044E-4</v>
      </c>
      <c r="AD29" s="154">
        <f>0.2325+0.0012</f>
        <v>0.23370000000000002</v>
      </c>
      <c r="AE29" s="151">
        <f t="shared" si="27"/>
        <v>3.8950000000000005E-2</v>
      </c>
      <c r="AF29" s="156">
        <f t="shared" si="28"/>
        <v>7.7900000000000083E-4</v>
      </c>
    </row>
    <row r="30" spans="1:32" x14ac:dyDescent="0.2">
      <c r="A30" t="s">
        <v>108</v>
      </c>
      <c r="B30" s="203">
        <f t="shared" si="29"/>
        <v>3.475875555555559E-2</v>
      </c>
      <c r="C30" s="154">
        <v>39.1036</v>
      </c>
      <c r="D30" s="151">
        <f t="shared" si="9"/>
        <v>1.7379377777777778</v>
      </c>
      <c r="E30" s="156">
        <f t="shared" si="10"/>
        <v>3.475875555555559E-2</v>
      </c>
      <c r="F30" s="154">
        <f>0.834+2.1756</f>
        <v>3.0096000000000003</v>
      </c>
      <c r="G30" s="151">
        <f t="shared" si="11"/>
        <v>0.50160000000000005</v>
      </c>
      <c r="H30" s="156">
        <f t="shared" si="12"/>
        <v>1.003200000000001E-2</v>
      </c>
      <c r="I30" s="154">
        <v>0.22600000000000001</v>
      </c>
      <c r="J30" s="151">
        <f t="shared" si="13"/>
        <v>7.5333333333333335E-2</v>
      </c>
      <c r="K30" s="156">
        <f t="shared" si="14"/>
        <v>1.5066666666666681E-3</v>
      </c>
      <c r="L30" s="154">
        <f>0.3212+0.0038</f>
        <v>0.32500000000000001</v>
      </c>
      <c r="M30" s="151">
        <f t="shared" si="15"/>
        <v>3.2500000000000001E-2</v>
      </c>
      <c r="N30" s="156">
        <f t="shared" si="16"/>
        <v>6.5000000000000062E-4</v>
      </c>
      <c r="O30" s="198">
        <f>0.6709+1.6901</f>
        <v>2.3609999999999998</v>
      </c>
      <c r="P30" s="151">
        <f t="shared" si="17"/>
        <v>0.31479999999999997</v>
      </c>
      <c r="Q30" s="156">
        <f t="shared" si="18"/>
        <v>6.2960000000000047E-3</v>
      </c>
      <c r="R30" s="198">
        <f>0.8387+2.0326</f>
        <v>2.8712999999999997</v>
      </c>
      <c r="S30" s="151">
        <f t="shared" si="19"/>
        <v>0.26102727272727272</v>
      </c>
      <c r="T30" s="156">
        <f t="shared" si="20"/>
        <v>5.2205454545454586E-3</v>
      </c>
      <c r="U30" s="198">
        <f>0.9509+2.1222</f>
        <v>3.0730999999999997</v>
      </c>
      <c r="V30" s="151">
        <f t="shared" si="21"/>
        <v>0.51218333333333332</v>
      </c>
      <c r="W30" s="156">
        <f t="shared" si="22"/>
        <v>1.0243666666666675E-2</v>
      </c>
      <c r="X30" s="198">
        <v>2.2700999999999998</v>
      </c>
      <c r="Y30" s="151">
        <f t="shared" si="23"/>
        <v>0.15133999999999997</v>
      </c>
      <c r="Z30" s="156">
        <f t="shared" si="24"/>
        <v>3.0268000000000022E-3</v>
      </c>
      <c r="AA30" s="198">
        <v>2.0949</v>
      </c>
      <c r="AB30" s="151">
        <f t="shared" si="25"/>
        <v>0.104745</v>
      </c>
      <c r="AC30" s="156">
        <f t="shared" si="26"/>
        <v>2.094900000000002E-3</v>
      </c>
      <c r="AD30" s="198">
        <f>0.463+0.4797</f>
        <v>0.94270000000000009</v>
      </c>
      <c r="AE30" s="151">
        <f t="shared" si="27"/>
        <v>0.15711666666666668</v>
      </c>
      <c r="AF30" s="156">
        <f t="shared" si="28"/>
        <v>3.1423333333333364E-3</v>
      </c>
    </row>
    <row r="31" spans="1:32" x14ac:dyDescent="0.2">
      <c r="A31" s="133" t="s">
        <v>226</v>
      </c>
      <c r="B31" s="203">
        <f t="shared" si="29"/>
        <v>1.2041777777777789E-3</v>
      </c>
      <c r="C31" s="154">
        <v>1.3547</v>
      </c>
      <c r="D31" s="151">
        <f t="shared" si="9"/>
        <v>6.0208888888888888E-2</v>
      </c>
      <c r="E31" s="156">
        <f t="shared" si="10"/>
        <v>1.2041777777777789E-3</v>
      </c>
      <c r="F31" s="154">
        <f>0.0655+0.1618</f>
        <v>0.2273</v>
      </c>
      <c r="G31" s="151">
        <f t="shared" si="11"/>
        <v>3.7883333333333331E-2</v>
      </c>
      <c r="H31" s="156">
        <f t="shared" si="12"/>
        <v>7.5766666666666734E-4</v>
      </c>
      <c r="I31" s="154"/>
      <c r="J31" s="151">
        <f t="shared" si="13"/>
        <v>0</v>
      </c>
      <c r="K31" s="156">
        <f t="shared" si="14"/>
        <v>0</v>
      </c>
      <c r="L31" s="154"/>
      <c r="M31" s="151">
        <f t="shared" si="15"/>
        <v>0</v>
      </c>
      <c r="N31" s="156">
        <f t="shared" si="16"/>
        <v>0</v>
      </c>
      <c r="O31" s="154">
        <f>0.0185+0.007</f>
        <v>2.5499999999999998E-2</v>
      </c>
      <c r="P31" s="151">
        <f t="shared" si="17"/>
        <v>3.3999999999999998E-3</v>
      </c>
      <c r="Q31" s="156">
        <f t="shared" si="18"/>
        <v>6.8000000000000054E-5</v>
      </c>
      <c r="R31" s="154">
        <f>0.0624+0.0246</f>
        <v>8.6999999999999994E-2</v>
      </c>
      <c r="S31" s="151">
        <f t="shared" si="19"/>
        <v>7.909090909090909E-3</v>
      </c>
      <c r="T31" s="156">
        <f t="shared" si="20"/>
        <v>1.5818181818181833E-4</v>
      </c>
      <c r="U31" s="154">
        <f>0.0291+0.0123</f>
        <v>4.1399999999999999E-2</v>
      </c>
      <c r="V31" s="151">
        <f t="shared" si="21"/>
        <v>6.8999999999999999E-3</v>
      </c>
      <c r="W31" s="156">
        <f t="shared" si="22"/>
        <v>1.3800000000000013E-4</v>
      </c>
      <c r="X31" s="154">
        <v>0.1066</v>
      </c>
      <c r="Y31" s="151">
        <f t="shared" si="23"/>
        <v>7.1066666666666665E-3</v>
      </c>
      <c r="Z31" s="156">
        <f t="shared" si="24"/>
        <v>1.4213333333333345E-4</v>
      </c>
      <c r="AA31" s="154">
        <v>9.6500000000000002E-2</v>
      </c>
      <c r="AB31" s="151">
        <f t="shared" si="25"/>
        <v>4.8250000000000003E-3</v>
      </c>
      <c r="AC31" s="156">
        <f t="shared" si="26"/>
        <v>9.6500000000000096E-5</v>
      </c>
      <c r="AD31" s="154">
        <f>0.023+0.0208</f>
        <v>4.3799999999999999E-2</v>
      </c>
      <c r="AE31" s="151">
        <f t="shared" si="27"/>
        <v>7.3000000000000001E-3</v>
      </c>
      <c r="AF31" s="156">
        <f t="shared" si="28"/>
        <v>1.4600000000000013E-4</v>
      </c>
    </row>
    <row r="32" spans="1:32" x14ac:dyDescent="0.2">
      <c r="A32" t="s">
        <v>218</v>
      </c>
      <c r="B32" s="203">
        <f t="shared" si="29"/>
        <v>0.31314233333333363</v>
      </c>
      <c r="C32" s="154">
        <v>60.681399999999996</v>
      </c>
      <c r="D32" s="151">
        <f t="shared" si="9"/>
        <v>2.6969511111111109</v>
      </c>
      <c r="E32" s="156">
        <f t="shared" si="10"/>
        <v>5.3939022222222265E-2</v>
      </c>
      <c r="F32" s="154">
        <f>0.586+93.3567</f>
        <v>93.942700000000002</v>
      </c>
      <c r="G32" s="151">
        <f t="shared" si="11"/>
        <v>15.657116666666667</v>
      </c>
      <c r="H32" s="156">
        <f t="shared" si="12"/>
        <v>0.31314233333333363</v>
      </c>
      <c r="I32" s="154">
        <v>18.304300000000001</v>
      </c>
      <c r="J32" s="151">
        <f t="shared" si="13"/>
        <v>6.1014333333333335</v>
      </c>
      <c r="K32" s="156">
        <f t="shared" si="14"/>
        <v>0.12202866666666677</v>
      </c>
      <c r="L32" s="154">
        <f>0.2568+12.8507</f>
        <v>13.1075</v>
      </c>
      <c r="M32" s="151">
        <f t="shared" si="15"/>
        <v>1.3107500000000001</v>
      </c>
      <c r="N32" s="156">
        <f t="shared" si="16"/>
        <v>2.6215000000000026E-2</v>
      </c>
      <c r="O32" s="154">
        <f>0.2568+12.8507</f>
        <v>13.1075</v>
      </c>
      <c r="P32" s="151">
        <f t="shared" si="17"/>
        <v>1.7476666666666667</v>
      </c>
      <c r="Q32" s="156">
        <f t="shared" si="18"/>
        <v>3.4953333333333364E-2</v>
      </c>
      <c r="R32" s="154">
        <f>14.099+0.7773</f>
        <v>14.876300000000001</v>
      </c>
      <c r="S32" s="151">
        <f t="shared" si="19"/>
        <v>1.3523909090909092</v>
      </c>
      <c r="T32" s="156">
        <f t="shared" si="20"/>
        <v>2.7047818181818208E-2</v>
      </c>
      <c r="U32" s="154">
        <f>14.0503+0.7123</f>
        <v>14.762600000000001</v>
      </c>
      <c r="V32" s="151">
        <f t="shared" si="21"/>
        <v>2.4604333333333335</v>
      </c>
      <c r="W32" s="156">
        <f t="shared" si="22"/>
        <v>4.9208666666666713E-2</v>
      </c>
      <c r="X32" s="154">
        <v>73.705600000000004</v>
      </c>
      <c r="Y32" s="151">
        <f t="shared" si="23"/>
        <v>4.9137066666666671</v>
      </c>
      <c r="Z32" s="156">
        <f t="shared" si="24"/>
        <v>9.827413333333343E-2</v>
      </c>
      <c r="AA32" s="154">
        <v>78.482200000000006</v>
      </c>
      <c r="AB32" s="151">
        <f t="shared" si="25"/>
        <v>3.9241100000000002</v>
      </c>
      <c r="AC32" s="156">
        <f t="shared" si="26"/>
        <v>7.8482200000000071E-2</v>
      </c>
      <c r="AD32" s="154">
        <f>34.551+0.4633</f>
        <v>35.014299999999999</v>
      </c>
      <c r="AE32" s="151">
        <f t="shared" si="27"/>
        <v>5.8357166666666664</v>
      </c>
      <c r="AF32" s="156">
        <f t="shared" si="28"/>
        <v>0.11671433333333343</v>
      </c>
    </row>
    <row r="34" spans="2:2" x14ac:dyDescent="0.2">
      <c r="B34" s="203"/>
    </row>
  </sheetData>
  <mergeCells count="33">
    <mergeCell ref="AD20:AF20"/>
    <mergeCell ref="AE22:AF22"/>
    <mergeCell ref="U20:W20"/>
    <mergeCell ref="V22:W22"/>
    <mergeCell ref="X20:Z20"/>
    <mergeCell ref="Y22:Z22"/>
    <mergeCell ref="AA20:AC20"/>
    <mergeCell ref="AB22:AC22"/>
    <mergeCell ref="O20:Q20"/>
    <mergeCell ref="P22:Q22"/>
    <mergeCell ref="R20:T20"/>
    <mergeCell ref="S22:T22"/>
    <mergeCell ref="M2:N2"/>
    <mergeCell ref="L20:N20"/>
    <mergeCell ref="M22:N22"/>
    <mergeCell ref="K2:L2"/>
    <mergeCell ref="O2:P2"/>
    <mergeCell ref="G22:H22"/>
    <mergeCell ref="C20:E20"/>
    <mergeCell ref="D22:E22"/>
    <mergeCell ref="F20:H20"/>
    <mergeCell ref="I20:K20"/>
    <mergeCell ref="J22:K22"/>
    <mergeCell ref="M1:N1"/>
    <mergeCell ref="C2:D2"/>
    <mergeCell ref="E2:F2"/>
    <mergeCell ref="G2:H2"/>
    <mergeCell ref="I1:J1"/>
    <mergeCell ref="K1:L1"/>
    <mergeCell ref="C1:D1"/>
    <mergeCell ref="E1:F1"/>
    <mergeCell ref="G1:H1"/>
    <mergeCell ref="I2:J2"/>
  </mergeCells>
  <pageMargins left="0.7" right="0.7" top="0.75" bottom="0.75" header="0.3" footer="0.3"/>
  <pageSetup orientation="landscape" r:id="rId1"/>
  <colBreaks count="3" manualBreakCount="3">
    <brk id="8" max="1048575" man="1"/>
    <brk id="17" max="1048575" man="1"/>
    <brk id="2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workbookViewId="0">
      <selection activeCell="A10" sqref="A10"/>
    </sheetView>
  </sheetViews>
  <sheetFormatPr defaultRowHeight="15" x14ac:dyDescent="0.25"/>
  <cols>
    <col min="1" max="1" width="30.7109375" style="127" bestFit="1" customWidth="1"/>
    <col min="2" max="2" width="12.5703125" style="127" bestFit="1" customWidth="1"/>
    <col min="3" max="3" width="10.42578125" style="127" bestFit="1" customWidth="1"/>
    <col min="4" max="16384" width="9.140625" style="127"/>
  </cols>
  <sheetData>
    <row r="1" spans="1:5" ht="15.75" thickBot="1" x14ac:dyDescent="0.3">
      <c r="A1" s="239" t="s">
        <v>297</v>
      </c>
      <c r="B1" s="240" t="s">
        <v>5</v>
      </c>
      <c r="C1" s="240" t="s">
        <v>199</v>
      </c>
    </row>
    <row r="2" spans="1:5" x14ac:dyDescent="0.25">
      <c r="A2" s="204" t="s">
        <v>213</v>
      </c>
      <c r="B2" s="128">
        <f>'UnControlled Emissions'!K16</f>
        <v>46.351822222222218</v>
      </c>
      <c r="C2" s="128">
        <f>'Controlled Emissions'!K16</f>
        <v>0.92703644444444522</v>
      </c>
    </row>
    <row r="3" spans="1:5" x14ac:dyDescent="0.25">
      <c r="A3" s="127" t="s">
        <v>198</v>
      </c>
      <c r="B3" s="128">
        <f>SUM('UnControlled Emissions'!K12:K14)</f>
        <v>44.196043947078103</v>
      </c>
      <c r="C3" s="128">
        <f>SUM('Controlled Emissions'!K12:K14)</f>
        <v>0.89394627894156287</v>
      </c>
    </row>
    <row r="4" spans="1:5" x14ac:dyDescent="0.25">
      <c r="A4" s="204" t="s">
        <v>261</v>
      </c>
      <c r="B4" s="128">
        <f>'UnControlled Emissions'!K17</f>
        <v>21</v>
      </c>
      <c r="C4" s="128">
        <f>'Controlled Emissions'!K17</f>
        <v>3</v>
      </c>
    </row>
    <row r="5" spans="1:5" x14ac:dyDescent="0.25">
      <c r="A5" s="127" t="s">
        <v>183</v>
      </c>
      <c r="B5" s="128">
        <f>'UnControlled Emissions'!K11</f>
        <v>18.97035</v>
      </c>
      <c r="C5" s="128">
        <f>'Controlled Emissions'!K11</f>
        <v>7.849800000000001</v>
      </c>
    </row>
    <row r="6" spans="1:5" x14ac:dyDescent="0.25">
      <c r="A6" s="127" t="s">
        <v>187</v>
      </c>
      <c r="B6" s="128">
        <f>'UnControlled Emissions'!K18</f>
        <v>7.7490079365079376</v>
      </c>
      <c r="C6" s="128">
        <f>'Controlled Emissions'!K18</f>
        <v>0.16190839947089947</v>
      </c>
    </row>
    <row r="7" spans="1:5" x14ac:dyDescent="0.25">
      <c r="A7" s="127" t="s">
        <v>197</v>
      </c>
      <c r="B7" s="128">
        <f>'UnControlled Emissions'!K10</f>
        <v>0.47829600000000005</v>
      </c>
      <c r="C7" s="128">
        <f>'Controlled Emissions'!K10</f>
        <v>0.47829600000000005</v>
      </c>
    </row>
    <row r="8" spans="1:5" x14ac:dyDescent="0.25">
      <c r="A8" s="127" t="s">
        <v>181</v>
      </c>
      <c r="B8" s="128">
        <f>'UnControlled Emissions'!K9</f>
        <v>0.23617647058823529</v>
      </c>
      <c r="C8" s="128">
        <f>'Controlled Emissions'!K9</f>
        <v>0.23617647058823529</v>
      </c>
    </row>
    <row r="9" spans="1:5" x14ac:dyDescent="0.25">
      <c r="A9" s="127" t="s">
        <v>196</v>
      </c>
      <c r="B9" s="128">
        <f>'UnControlled Emissions'!K15</f>
        <v>0</v>
      </c>
      <c r="C9" s="128">
        <f>'Controlled Emissions'!K15</f>
        <v>0</v>
      </c>
    </row>
    <row r="10" spans="1:5" x14ac:dyDescent="0.25">
      <c r="B10" s="128"/>
      <c r="C10" s="128"/>
    </row>
    <row r="11" spans="1:5" x14ac:dyDescent="0.25">
      <c r="A11" s="127" t="s">
        <v>200</v>
      </c>
      <c r="B11" s="128">
        <f>SUM(B2:B10)</f>
        <v>138.98169657639653</v>
      </c>
      <c r="C11" s="128">
        <f>SUM(C2:C10)</f>
        <v>13.547163593445143</v>
      </c>
      <c r="E11" s="129">
        <f>1-C11/B11</f>
        <v>0.90252555604688256</v>
      </c>
    </row>
    <row r="12" spans="1:5" x14ac:dyDescent="0.25">
      <c r="B12" s="128"/>
      <c r="C12" s="128"/>
    </row>
    <row r="13" spans="1:5" x14ac:dyDescent="0.25">
      <c r="B13" s="128"/>
      <c r="C13" s="128"/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workbookViewId="0">
      <selection activeCell="G10" sqref="G10"/>
    </sheetView>
  </sheetViews>
  <sheetFormatPr defaultRowHeight="15" x14ac:dyDescent="0.25"/>
  <cols>
    <col min="1" max="1" width="30.7109375" style="127" bestFit="1" customWidth="1"/>
    <col min="2" max="2" width="12.5703125" style="127" bestFit="1" customWidth="1"/>
    <col min="3" max="3" width="10.42578125" style="127" bestFit="1" customWidth="1"/>
    <col min="4" max="16384" width="9.140625" style="127"/>
  </cols>
  <sheetData>
    <row r="1" spans="1:5" x14ac:dyDescent="0.25">
      <c r="B1" s="127" t="s">
        <v>5</v>
      </c>
      <c r="C1" s="127" t="s">
        <v>199</v>
      </c>
    </row>
    <row r="2" spans="1:5" x14ac:dyDescent="0.25">
      <c r="A2" s="204" t="s">
        <v>213</v>
      </c>
      <c r="B2" s="128">
        <f>'UnControlled Emissions'!K16</f>
        <v>46.351822222222218</v>
      </c>
      <c r="C2" s="128">
        <f>'Controlled Emissions'!K16</f>
        <v>0.92703644444444522</v>
      </c>
    </row>
    <row r="3" spans="1:5" x14ac:dyDescent="0.25">
      <c r="A3" s="127" t="s">
        <v>198</v>
      </c>
      <c r="B3" s="128">
        <f>SUM('UnControlled Emissions'!K12:K14)</f>
        <v>44.196043947078103</v>
      </c>
      <c r="C3" s="128">
        <f>SUM('Controlled Emissions'!K12:K14)</f>
        <v>0.89394627894156287</v>
      </c>
    </row>
    <row r="4" spans="1:5" x14ac:dyDescent="0.25">
      <c r="A4" s="204" t="s">
        <v>261</v>
      </c>
      <c r="B4" s="128">
        <f>'UnControlled Emissions'!K17</f>
        <v>21</v>
      </c>
      <c r="C4" s="128">
        <f>'Controlled Emissions'!K17</f>
        <v>3</v>
      </c>
    </row>
    <row r="5" spans="1:5" x14ac:dyDescent="0.25">
      <c r="A5" s="127" t="s">
        <v>183</v>
      </c>
      <c r="B5" s="128">
        <f>'UnControlled Emissions'!K11</f>
        <v>18.97035</v>
      </c>
      <c r="C5" s="128">
        <f>'Controlled Emissions'!K11</f>
        <v>7.849800000000001</v>
      </c>
    </row>
    <row r="6" spans="1:5" x14ac:dyDescent="0.25">
      <c r="A6" s="127" t="s">
        <v>187</v>
      </c>
      <c r="B6" s="128">
        <f>'UnControlled Emissions'!K18</f>
        <v>7.7490079365079376</v>
      </c>
      <c r="C6" s="128">
        <f>'Controlled Emissions'!K18</f>
        <v>0.16190839947089947</v>
      </c>
    </row>
    <row r="7" spans="1:5" x14ac:dyDescent="0.25">
      <c r="A7" s="127" t="s">
        <v>197</v>
      </c>
      <c r="B7" s="128">
        <f>'UnControlled Emissions'!K10</f>
        <v>0.47829600000000005</v>
      </c>
      <c r="C7" s="128">
        <f>'Controlled Emissions'!K10</f>
        <v>0.47829600000000005</v>
      </c>
    </row>
    <row r="8" spans="1:5" x14ac:dyDescent="0.25">
      <c r="A8" s="127" t="s">
        <v>181</v>
      </c>
      <c r="B8" s="128">
        <f>'UnControlled Emissions'!K9</f>
        <v>0.23617647058823529</v>
      </c>
      <c r="C8" s="128">
        <f>'Controlled Emissions'!K9</f>
        <v>0.23617647058823529</v>
      </c>
    </row>
    <row r="9" spans="1:5" x14ac:dyDescent="0.25">
      <c r="A9" s="127" t="s">
        <v>196</v>
      </c>
      <c r="B9" s="128">
        <f>'UnControlled Emissions'!K15</f>
        <v>0</v>
      </c>
      <c r="C9" s="128">
        <f>'Controlled Emissions'!K15</f>
        <v>0</v>
      </c>
    </row>
    <row r="10" spans="1:5" x14ac:dyDescent="0.25">
      <c r="B10" s="128"/>
      <c r="C10" s="128"/>
    </row>
    <row r="11" spans="1:5" x14ac:dyDescent="0.25">
      <c r="A11" s="127" t="s">
        <v>200</v>
      </c>
      <c r="B11" s="128">
        <f>SUM(B2:B10)</f>
        <v>138.98169657639653</v>
      </c>
      <c r="C11" s="128">
        <f>SUM(C2:C10)</f>
        <v>13.547163593445143</v>
      </c>
      <c r="E11" s="129">
        <f>1-C11/B11</f>
        <v>0.90252555604688256</v>
      </c>
    </row>
    <row r="12" spans="1:5" x14ac:dyDescent="0.25">
      <c r="B12" s="128"/>
      <c r="C12" s="128"/>
    </row>
    <row r="13" spans="1:5" x14ac:dyDescent="0.25">
      <c r="B13" s="128"/>
      <c r="C13" s="128"/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"/>
  <sheetViews>
    <sheetView workbookViewId="0">
      <selection activeCell="I37" sqref="I37"/>
    </sheetView>
  </sheetViews>
  <sheetFormatPr defaultRowHeight="12.75" x14ac:dyDescent="0.2"/>
  <sheetData>
    <row r="1" spans="1:3" x14ac:dyDescent="0.2">
      <c r="B1" t="s">
        <v>5</v>
      </c>
      <c r="C1" t="s">
        <v>199</v>
      </c>
    </row>
    <row r="2" spans="1:3" x14ac:dyDescent="0.2">
      <c r="A2" t="s">
        <v>4</v>
      </c>
      <c r="B2" s="131">
        <f>'UnControlled Emissions'!K20</f>
        <v>138.9816965763965</v>
      </c>
      <c r="C2" s="131">
        <f>'Controlled Emissions'!K20</f>
        <v>13.547163593445143</v>
      </c>
    </row>
    <row r="3" spans="1:3" x14ac:dyDescent="0.2">
      <c r="A3" t="s">
        <v>201</v>
      </c>
      <c r="B3" s="131">
        <f>'UnControlled Emissions'!E20</f>
        <v>16.929103647058824</v>
      </c>
      <c r="C3" s="131">
        <f>'Controlled Emissions'!E20</f>
        <v>8.4495781098243601</v>
      </c>
    </row>
    <row r="4" spans="1:3" x14ac:dyDescent="0.2">
      <c r="A4" t="s">
        <v>3</v>
      </c>
      <c r="B4" s="131">
        <f>'UnControlled Emissions'!F20</f>
        <v>9.6961569835230943</v>
      </c>
      <c r="C4" s="131">
        <f>'Controlled Emissions'!F20</f>
        <v>12.937356983523093</v>
      </c>
    </row>
    <row r="5" spans="1:3" x14ac:dyDescent="0.2">
      <c r="A5" t="s">
        <v>188</v>
      </c>
      <c r="B5" s="131">
        <f>'UnControlled Emissions'!L20</f>
        <v>34.302691501274317</v>
      </c>
      <c r="C5" s="131">
        <f>'Controlled Emissions'!L20</f>
        <v>2.5485749421706858</v>
      </c>
    </row>
    <row r="6" spans="1:3" x14ac:dyDescent="0.2">
      <c r="A6" t="s">
        <v>293</v>
      </c>
      <c r="B6" s="131">
        <f>'UnControlled Emissions'!C20</f>
        <v>0.51890693917647057</v>
      </c>
      <c r="C6" s="131">
        <f>'Controlled Emissions'!C20</f>
        <v>0.51890693917647057</v>
      </c>
    </row>
    <row r="7" spans="1:3" x14ac:dyDescent="0.2">
      <c r="A7" t="s">
        <v>292</v>
      </c>
      <c r="B7" s="131">
        <f>'UnControlled Emissions'!D20</f>
        <v>2.8108356282352944E-2</v>
      </c>
      <c r="C7" s="131">
        <f>'Controlled Emissions'!D20</f>
        <v>2.8108356282352944E-2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5" workbookViewId="0">
      <selection activeCell="A5" sqref="A5"/>
    </sheetView>
  </sheetViews>
  <sheetFormatPr defaultRowHeight="12.75" x14ac:dyDescent="0.2"/>
  <cols>
    <col min="1" max="1" width="9.42578125" bestFit="1" customWidth="1"/>
    <col min="2" max="2" width="46.85546875" bestFit="1" customWidth="1"/>
    <col min="3" max="13" width="6.85546875" customWidth="1"/>
    <col min="14" max="14" width="2.28515625" style="2" customWidth="1"/>
    <col min="15" max="24" width="6.85546875" customWidth="1"/>
  </cols>
  <sheetData>
    <row r="1" spans="1:24" ht="26.25" x14ac:dyDescent="0.4">
      <c r="A1" s="34" t="s">
        <v>296</v>
      </c>
      <c r="C1" s="34"/>
      <c r="D1" s="34"/>
      <c r="E1" s="34"/>
      <c r="F1" s="34"/>
      <c r="G1" s="34"/>
      <c r="H1" s="34"/>
      <c r="I1" s="34"/>
    </row>
    <row r="2" spans="1:24" x14ac:dyDescent="0.2">
      <c r="A2" t="s">
        <v>0</v>
      </c>
      <c r="B2" s="9" t="s">
        <v>40</v>
      </c>
    </row>
    <row r="3" spans="1:24" x14ac:dyDescent="0.2">
      <c r="A3" t="s">
        <v>1</v>
      </c>
      <c r="B3" s="9" t="s">
        <v>193</v>
      </c>
    </row>
    <row r="4" spans="1:24" x14ac:dyDescent="0.2">
      <c r="A4" t="s">
        <v>2</v>
      </c>
      <c r="B4" s="124" t="s">
        <v>262</v>
      </c>
    </row>
    <row r="5" spans="1:24" s="38" customFormat="1" x14ac:dyDescent="0.2">
      <c r="A5" s="39"/>
      <c r="N5" s="26"/>
    </row>
    <row r="6" spans="1:24" ht="46.5" x14ac:dyDescent="0.2">
      <c r="C6" s="48"/>
      <c r="H6" s="50" t="s">
        <v>77</v>
      </c>
      <c r="I6" s="50" t="s">
        <v>78</v>
      </c>
      <c r="N6" s="46"/>
      <c r="O6" s="55"/>
      <c r="P6" s="3"/>
      <c r="Q6" s="3"/>
      <c r="R6" s="3"/>
      <c r="S6" s="3"/>
      <c r="T6" s="50" t="s">
        <v>77</v>
      </c>
      <c r="U6" s="50" t="s">
        <v>78</v>
      </c>
      <c r="V6" s="3"/>
      <c r="W6" s="3"/>
      <c r="X6" s="58"/>
    </row>
    <row r="7" spans="1:24" ht="15.75" x14ac:dyDescent="0.3">
      <c r="A7" s="2"/>
      <c r="B7" s="2"/>
      <c r="C7" s="51" t="s">
        <v>6</v>
      </c>
      <c r="D7" s="52" t="s">
        <v>9</v>
      </c>
      <c r="E7" s="52" t="s">
        <v>10</v>
      </c>
      <c r="F7" s="52" t="s">
        <v>3</v>
      </c>
      <c r="G7" s="52" t="s">
        <v>11</v>
      </c>
      <c r="H7" s="52" t="s">
        <v>79</v>
      </c>
      <c r="I7" s="52" t="s">
        <v>79</v>
      </c>
      <c r="J7" s="52" t="s">
        <v>7</v>
      </c>
      <c r="K7" s="52" t="s">
        <v>4</v>
      </c>
      <c r="L7" s="52" t="s">
        <v>12</v>
      </c>
      <c r="M7" s="74" t="s">
        <v>129</v>
      </c>
      <c r="N7" s="46"/>
      <c r="O7" s="51" t="s">
        <v>6</v>
      </c>
      <c r="P7" s="52" t="s">
        <v>9</v>
      </c>
      <c r="Q7" s="52" t="s">
        <v>10</v>
      </c>
      <c r="R7" s="52" t="s">
        <v>3</v>
      </c>
      <c r="S7" s="52" t="s">
        <v>11</v>
      </c>
      <c r="T7" s="52" t="s">
        <v>79</v>
      </c>
      <c r="U7" s="52" t="s">
        <v>79</v>
      </c>
      <c r="V7" s="52" t="s">
        <v>7</v>
      </c>
      <c r="W7" s="52" t="s">
        <v>4</v>
      </c>
      <c r="X7" s="63" t="s">
        <v>12</v>
      </c>
    </row>
    <row r="8" spans="1:24" ht="13.5" thickBot="1" x14ac:dyDescent="0.25">
      <c r="A8" s="14" t="s">
        <v>117</v>
      </c>
      <c r="B8" s="14" t="s">
        <v>118</v>
      </c>
      <c r="C8" s="53" t="s">
        <v>14</v>
      </c>
      <c r="D8" s="15" t="s">
        <v>14</v>
      </c>
      <c r="E8" s="15" t="s">
        <v>14</v>
      </c>
      <c r="F8" s="15" t="s">
        <v>14</v>
      </c>
      <c r="G8" s="15" t="s">
        <v>14</v>
      </c>
      <c r="H8" s="15" t="s">
        <v>14</v>
      </c>
      <c r="I8" s="15" t="s">
        <v>14</v>
      </c>
      <c r="J8" s="15" t="s">
        <v>14</v>
      </c>
      <c r="K8" s="15" t="s">
        <v>14</v>
      </c>
      <c r="L8" s="15" t="s">
        <v>14</v>
      </c>
      <c r="M8" s="75" t="s">
        <v>14</v>
      </c>
      <c r="N8" s="46"/>
      <c r="O8" s="53" t="s">
        <v>15</v>
      </c>
      <c r="P8" s="15" t="s">
        <v>15</v>
      </c>
      <c r="Q8" s="15" t="s">
        <v>15</v>
      </c>
      <c r="R8" s="15" t="s">
        <v>15</v>
      </c>
      <c r="S8" s="15" t="s">
        <v>15</v>
      </c>
      <c r="T8" s="15" t="s">
        <v>15</v>
      </c>
      <c r="U8" s="15" t="s">
        <v>15</v>
      </c>
      <c r="V8" s="15" t="s">
        <v>15</v>
      </c>
      <c r="W8" s="15" t="s">
        <v>15</v>
      </c>
      <c r="X8" s="61" t="s">
        <v>15</v>
      </c>
    </row>
    <row r="9" spans="1:24" s="2" customFormat="1" x14ac:dyDescent="0.2">
      <c r="A9" s="23">
        <v>1.4</v>
      </c>
      <c r="B9" s="2" t="str">
        <f t="shared" ref="B9:B18" ca="1" si="0">INDIRECT(CONCATENATE("'",A9,"'!A1"))</f>
        <v>Heaters/Boilers</v>
      </c>
      <c r="C9" s="54">
        <f>'1.4'!C9</f>
        <v>0.32635294117647062</v>
      </c>
      <c r="D9" s="29">
        <f>'1.4'!D9</f>
        <v>2.5764705882352943E-2</v>
      </c>
      <c r="E9" s="29">
        <f>'1.4'!E9</f>
        <v>4.2941176470588234</v>
      </c>
      <c r="F9" s="29">
        <f>'1.4'!F9</f>
        <v>3.6070588235294117</v>
      </c>
      <c r="G9" s="29">
        <f>'1.4'!G9</f>
        <v>2.1470588235294119E-5</v>
      </c>
      <c r="H9" s="29"/>
      <c r="I9" s="29">
        <f>'1.4'!I9</f>
        <v>0.32635294117647062</v>
      </c>
      <c r="J9" s="29">
        <f>'1.4'!J9</f>
        <v>0.32635294117647062</v>
      </c>
      <c r="K9" s="29">
        <f>'1.4'!K9</f>
        <v>0.23617647058823529</v>
      </c>
      <c r="L9" s="29">
        <f>'1.4'!L9</f>
        <v>8.1114087411764707E-2</v>
      </c>
      <c r="M9" s="79">
        <f>'1.4'!M9</f>
        <v>5184.3011176470591</v>
      </c>
      <c r="N9" s="46"/>
      <c r="O9" s="54">
        <f>'1.4'!C14</f>
        <v>7.4509803921568626E-2</v>
      </c>
      <c r="P9" s="29">
        <f>'1.4'!D14</f>
        <v>5.8823529411764705E-3</v>
      </c>
      <c r="Q9" s="29">
        <f>'1.4'!E14</f>
        <v>0.98039215686274506</v>
      </c>
      <c r="R9" s="29">
        <f>'1.4'!F14</f>
        <v>0.82352941176470584</v>
      </c>
      <c r="S9" s="29">
        <f>'1.4'!G14</f>
        <v>4.9019607843137256E-6</v>
      </c>
      <c r="T9" s="29"/>
      <c r="U9" s="29">
        <f>'1.4'!I14</f>
        <v>7.4509803921568626E-2</v>
      </c>
      <c r="V9" s="29">
        <f>'1.4'!J14</f>
        <v>7.4509803921568626E-2</v>
      </c>
      <c r="W9" s="29">
        <f>'1.4'!K14</f>
        <v>5.3921568627450983E-2</v>
      </c>
      <c r="X9" s="59">
        <f>'1.4'!L14</f>
        <v>1.8519198039215683E-2</v>
      </c>
    </row>
    <row r="10" spans="1:24" x14ac:dyDescent="0.2">
      <c r="A10" s="17">
        <v>3.2</v>
      </c>
      <c r="B10" t="str">
        <f t="shared" ca="1" si="0"/>
        <v>Pumpjack Engine</v>
      </c>
      <c r="C10" s="54">
        <f>'3.2'!C9</f>
        <v>0.19255399799999998</v>
      </c>
      <c r="D10" s="29">
        <f>'3.2'!D9</f>
        <v>2.3436503999999998E-3</v>
      </c>
      <c r="E10" s="29">
        <f>'3.2'!E9</f>
        <v>3.5597804627655365</v>
      </c>
      <c r="F10" s="29">
        <f>'3.2'!F9</f>
        <v>6.0890981599936831</v>
      </c>
      <c r="G10" s="29">
        <f>'3.2'!G9</f>
        <v>0</v>
      </c>
      <c r="H10" s="29"/>
      <c r="I10" s="29">
        <f>'3.2'!I9</f>
        <v>0.19255399799999998</v>
      </c>
      <c r="J10" s="29">
        <f>'3.2'!J9</f>
        <v>0.19255399799999998</v>
      </c>
      <c r="K10" s="29">
        <f>'3.2'!K9</f>
        <v>0.47829600000000005</v>
      </c>
      <c r="L10" s="29">
        <f>'3.2'!L9</f>
        <v>0.31701109145979006</v>
      </c>
      <c r="M10" s="79">
        <f>'3.2'!M9</f>
        <v>559.80561</v>
      </c>
      <c r="N10" s="46"/>
      <c r="O10" s="54">
        <f>'3.2'!C14</f>
        <v>4.3962099999999997E-2</v>
      </c>
      <c r="P10" s="29">
        <f>'3.2'!D14</f>
        <v>5.3507999999999995E-4</v>
      </c>
      <c r="Q10" s="29">
        <f>'3.2'!E14</f>
        <v>0.8127352654715837</v>
      </c>
      <c r="R10" s="29">
        <f>'3.2'!F14</f>
        <v>1.3902050593592883</v>
      </c>
      <c r="S10" s="29">
        <f>'3.2'!G14</f>
        <v>0</v>
      </c>
      <c r="T10" s="29"/>
      <c r="U10" s="29">
        <f>'3.2'!I14</f>
        <v>4.3962099999999997E-2</v>
      </c>
      <c r="V10" s="29">
        <f>'3.2'!J14</f>
        <v>4.3962099999999997E-2</v>
      </c>
      <c r="W10" s="29">
        <f>'3.2'!K14</f>
        <v>0.10920000000000001</v>
      </c>
      <c r="X10" s="59">
        <f>'3.2'!L14</f>
        <v>7.2376961520500022E-2</v>
      </c>
    </row>
    <row r="11" spans="1:24" x14ac:dyDescent="0.2">
      <c r="A11" s="17">
        <v>5.2</v>
      </c>
      <c r="B11" t="str">
        <f t="shared" ca="1" si="0"/>
        <v>Truck Loading</v>
      </c>
      <c r="C11" s="54"/>
      <c r="D11" s="29"/>
      <c r="E11" s="29"/>
      <c r="F11" s="29"/>
      <c r="G11" s="80"/>
      <c r="H11" s="29"/>
      <c r="I11" s="29"/>
      <c r="J11" s="29"/>
      <c r="K11" s="29">
        <f>'5.2'!K9</f>
        <v>7.849800000000001</v>
      </c>
      <c r="L11" s="29">
        <f>'5.2'!L9</f>
        <v>1.1413597714442818</v>
      </c>
      <c r="M11" s="79">
        <f>'5.2'!M9</f>
        <v>377.40239818276086</v>
      </c>
      <c r="N11" s="46"/>
      <c r="O11" s="54"/>
      <c r="P11" s="29"/>
      <c r="Q11" s="29"/>
      <c r="R11" s="29"/>
      <c r="S11" s="29"/>
      <c r="T11" s="29"/>
      <c r="U11" s="29"/>
      <c r="V11" s="29"/>
      <c r="W11" s="29">
        <f>'5.2'!K14</f>
        <v>1.7921917808219181</v>
      </c>
      <c r="X11" s="59">
        <f>'5.2'!L14</f>
        <v>0.26058442270417392</v>
      </c>
    </row>
    <row r="12" spans="1:24" x14ac:dyDescent="0.2">
      <c r="A12" s="17">
        <v>7.1</v>
      </c>
      <c r="B12" t="str">
        <f t="shared" ca="1" si="0"/>
        <v>Tank Working &amp; Breathing Losses</v>
      </c>
      <c r="C12" s="54"/>
      <c r="D12" s="29"/>
      <c r="E12" s="29"/>
      <c r="F12" s="29"/>
      <c r="G12" s="29"/>
      <c r="H12" s="29"/>
      <c r="I12" s="29"/>
      <c r="J12" s="29"/>
      <c r="K12" s="29">
        <f>'7.1'!K9</f>
        <v>0.21056800000000017</v>
      </c>
      <c r="L12" s="29">
        <f>'7.1'!L9</f>
        <v>3.0616556390415009E-2</v>
      </c>
      <c r="M12" s="79">
        <f>'7.1'!M9</f>
        <v>10.123680626327756</v>
      </c>
      <c r="N12" s="46"/>
      <c r="O12" s="54"/>
      <c r="P12" s="29"/>
      <c r="Q12" s="29"/>
      <c r="R12" s="29"/>
      <c r="S12" s="29"/>
      <c r="T12" s="29"/>
      <c r="U12" s="29"/>
      <c r="V12" s="29"/>
      <c r="W12" s="29">
        <f>'7.1'!K14</f>
        <v>4.8074885844748901E-2</v>
      </c>
      <c r="X12" s="59">
        <f>'7.1'!L14</f>
        <v>6.9900813676746594E-3</v>
      </c>
    </row>
    <row r="13" spans="1:24" x14ac:dyDescent="0.2">
      <c r="A13" s="17" t="s">
        <v>161</v>
      </c>
      <c r="B13" t="str">
        <f t="shared" ca="1" si="0"/>
        <v>Tank Flashing Emissions</v>
      </c>
      <c r="C13" s="54"/>
      <c r="D13" s="29"/>
      <c r="E13" s="29"/>
      <c r="F13" s="29"/>
      <c r="G13" s="29"/>
      <c r="H13" s="29"/>
      <c r="I13" s="29"/>
      <c r="J13" s="29"/>
      <c r="K13" s="29">
        <f>'V-B'!K9</f>
        <v>0.67314827894156271</v>
      </c>
      <c r="L13" s="29">
        <f>'V-B'!L9</f>
        <v>9.7875661265363914E-2</v>
      </c>
      <c r="M13" s="79">
        <f>'V-B'!M9</f>
        <v>32.363598410805857</v>
      </c>
      <c r="N13" s="46"/>
      <c r="O13" s="54"/>
      <c r="P13" s="29"/>
      <c r="Q13" s="29"/>
      <c r="R13" s="29"/>
      <c r="S13" s="29"/>
      <c r="T13" s="29"/>
      <c r="U13" s="29"/>
      <c r="V13" s="29"/>
      <c r="W13" s="29">
        <f>'V-B'!K14</f>
        <v>0.15368682167615588</v>
      </c>
      <c r="X13" s="59">
        <f>'V-B'!L14</f>
        <v>2.2346041384786283E-2</v>
      </c>
    </row>
    <row r="14" spans="1:24" x14ac:dyDescent="0.2">
      <c r="A14" s="20" t="s">
        <v>191</v>
      </c>
      <c r="B14" t="str">
        <f t="shared" ca="1" si="0"/>
        <v>Glycol &amp; Methanol Tanks</v>
      </c>
      <c r="C14" s="54"/>
      <c r="D14" s="29"/>
      <c r="E14" s="29"/>
      <c r="F14" s="29"/>
      <c r="G14" s="29"/>
      <c r="H14" s="29"/>
      <c r="I14" s="29"/>
      <c r="J14" s="29"/>
      <c r="K14" s="29">
        <f>'7.1a'!K9</f>
        <v>1.023E-2</v>
      </c>
      <c r="L14" s="29">
        <f>'7.1a'!L9</f>
        <v>1.023E-2</v>
      </c>
      <c r="M14" s="79">
        <f>'7.1a'!M9</f>
        <v>0</v>
      </c>
      <c r="N14" s="46"/>
      <c r="O14" s="54"/>
      <c r="P14" s="29"/>
      <c r="Q14" s="29"/>
      <c r="R14" s="29"/>
      <c r="S14" s="29"/>
      <c r="T14" s="29"/>
      <c r="U14" s="29"/>
      <c r="V14" s="29"/>
      <c r="W14" s="29">
        <f>'7.1a'!K14</f>
        <v>2.3356164383561647E-3</v>
      </c>
      <c r="X14" s="59">
        <f>'7.1a'!L14</f>
        <v>2.3356164383561647E-3</v>
      </c>
    </row>
    <row r="15" spans="1:24" x14ac:dyDescent="0.2">
      <c r="A15" s="17">
        <v>13.5</v>
      </c>
      <c r="B15" t="str">
        <f t="shared" ca="1" si="0"/>
        <v>Flares</v>
      </c>
      <c r="C15" s="54"/>
      <c r="D15" s="29"/>
      <c r="E15" s="29">
        <f>'13.5'!E9</f>
        <v>0.5956800000000001</v>
      </c>
      <c r="F15" s="29">
        <f>'13.5'!F9</f>
        <v>3.2411999999999996</v>
      </c>
      <c r="G15" s="29"/>
      <c r="H15" s="29"/>
      <c r="I15" s="29"/>
      <c r="J15" s="29"/>
      <c r="K15" s="29"/>
      <c r="L15" s="29"/>
      <c r="M15" s="79">
        <f>'13.5'!M9</f>
        <v>25.754400000000004</v>
      </c>
      <c r="N15" s="47"/>
      <c r="O15" s="54"/>
      <c r="P15" s="29"/>
      <c r="Q15" s="29">
        <f>'13.5'!E14</f>
        <v>0.13600000000000001</v>
      </c>
      <c r="R15" s="29">
        <f>'13.5'!F14</f>
        <v>0.74</v>
      </c>
      <c r="S15" s="29"/>
      <c r="T15" s="29"/>
      <c r="U15" s="29"/>
      <c r="V15" s="29"/>
      <c r="W15" s="29"/>
      <c r="X15" s="59"/>
    </row>
    <row r="16" spans="1:24" x14ac:dyDescent="0.2">
      <c r="A16" s="130" t="s">
        <v>214</v>
      </c>
      <c r="B16" t="str">
        <f t="shared" ca="1" si="0"/>
        <v>Dehydrators</v>
      </c>
      <c r="C16" s="54"/>
      <c r="D16" s="29"/>
      <c r="E16" s="29"/>
      <c r="F16" s="29"/>
      <c r="G16" s="29"/>
      <c r="H16" s="29"/>
      <c r="I16" s="29"/>
      <c r="J16" s="29"/>
      <c r="K16" s="29">
        <f>Dehy!K9</f>
        <v>0.92703644444444522</v>
      </c>
      <c r="L16" s="29">
        <f>Dehy!L9</f>
        <v>0.41062675555555594</v>
      </c>
      <c r="M16" s="79">
        <f>Dehy!M9</f>
        <v>6.5759890000000061</v>
      </c>
      <c r="N16" s="47"/>
      <c r="O16" s="54"/>
      <c r="P16" s="29"/>
      <c r="Q16" s="29"/>
      <c r="R16" s="29"/>
      <c r="S16" s="29"/>
      <c r="T16" s="29"/>
      <c r="U16" s="29"/>
      <c r="V16" s="29"/>
      <c r="W16" s="29">
        <f>Dehy!K14</f>
        <v>0.21165215626585507</v>
      </c>
      <c r="X16" s="59">
        <f>Dehy!L14</f>
        <v>9.3750400811770759E-2</v>
      </c>
    </row>
    <row r="17" spans="1:24" x14ac:dyDescent="0.2">
      <c r="A17" s="130" t="s">
        <v>260</v>
      </c>
      <c r="B17" t="str">
        <f t="shared" ca="1" si="0"/>
        <v>Pneumatic Devices</v>
      </c>
      <c r="C17" s="54"/>
      <c r="D17" s="29"/>
      <c r="E17" s="29"/>
      <c r="F17" s="29"/>
      <c r="G17" s="29"/>
      <c r="H17" s="29"/>
      <c r="I17" s="29"/>
      <c r="J17" s="29"/>
      <c r="K17" s="29">
        <f>Pneu!K9</f>
        <v>3</v>
      </c>
      <c r="L17" s="29">
        <f>Pneu!L9</f>
        <v>0.43619956105032553</v>
      </c>
      <c r="M17" s="79">
        <f>Pneu!M9</f>
        <v>144.23389061482871</v>
      </c>
      <c r="N17" s="47"/>
      <c r="O17" s="54"/>
      <c r="P17" s="29"/>
      <c r="Q17" s="29"/>
      <c r="R17" s="29"/>
      <c r="S17" s="29"/>
      <c r="T17" s="29"/>
      <c r="U17" s="29"/>
      <c r="V17" s="29"/>
      <c r="W17" s="29">
        <f>Pneu!K14</f>
        <v>0.68493150684931503</v>
      </c>
      <c r="X17" s="59">
        <f>Pneu!L14</f>
        <v>9.9588940879069748E-2</v>
      </c>
    </row>
    <row r="18" spans="1:24" x14ac:dyDescent="0.2">
      <c r="A18" s="20" t="s">
        <v>189</v>
      </c>
      <c r="B18" t="str">
        <f t="shared" ca="1" si="0"/>
        <v>Fugitive Emissions</v>
      </c>
      <c r="C18" s="54"/>
      <c r="D18" s="29"/>
      <c r="E18" s="29"/>
      <c r="F18" s="29"/>
      <c r="G18" s="29"/>
      <c r="H18" s="29"/>
      <c r="I18" s="29"/>
      <c r="J18" s="29"/>
      <c r="K18" s="29">
        <f>Fug!K9</f>
        <v>0.16190839947089947</v>
      </c>
      <c r="L18" s="29">
        <f>Fug!L9</f>
        <v>2.3541457593189034E-2</v>
      </c>
      <c r="M18" s="79">
        <f>Fug!M9</f>
        <v>7.7781901325996019</v>
      </c>
      <c r="N18" s="47"/>
      <c r="O18" s="54"/>
      <c r="P18" s="29"/>
      <c r="Q18" s="29"/>
      <c r="R18" s="29"/>
      <c r="S18" s="29"/>
      <c r="T18" s="29"/>
      <c r="U18" s="29"/>
      <c r="V18" s="29"/>
      <c r="W18" s="29">
        <f>Fug!K14</f>
        <v>3.6965388007054671E-2</v>
      </c>
      <c r="X18" s="59">
        <f>Fug!L14</f>
        <v>5.3747620075774048E-3</v>
      </c>
    </row>
    <row r="19" spans="1:24" ht="13.5" thickBot="1" x14ac:dyDescent="0.25">
      <c r="C19" s="56"/>
      <c r="D19" s="60"/>
      <c r="E19" s="60"/>
      <c r="F19" s="60"/>
      <c r="G19" s="60"/>
      <c r="H19" s="60"/>
      <c r="I19" s="60"/>
      <c r="J19" s="60"/>
      <c r="K19" s="60"/>
      <c r="L19" s="60"/>
      <c r="M19" s="85"/>
      <c r="N19" s="47"/>
      <c r="O19" s="56"/>
      <c r="P19" s="60"/>
      <c r="Q19" s="60"/>
      <c r="R19" s="60"/>
      <c r="S19" s="60"/>
      <c r="T19" s="60"/>
      <c r="U19" s="60"/>
      <c r="V19" s="60"/>
      <c r="W19" s="60"/>
      <c r="X19" s="81"/>
    </row>
    <row r="20" spans="1:24" ht="13.5" thickBot="1" x14ac:dyDescent="0.25">
      <c r="B20" t="s">
        <v>122</v>
      </c>
      <c r="C20" s="82">
        <f t="shared" ref="C20:M20" si="1">SUM(C9:C19)</f>
        <v>0.51890693917647057</v>
      </c>
      <c r="D20" s="82">
        <f t="shared" si="1"/>
        <v>2.8108356282352944E-2</v>
      </c>
      <c r="E20" s="82">
        <f t="shared" si="1"/>
        <v>8.4495781098243601</v>
      </c>
      <c r="F20" s="82">
        <f t="shared" si="1"/>
        <v>12.937356983523093</v>
      </c>
      <c r="G20" s="83">
        <f t="shared" si="1"/>
        <v>2.1470588235294119E-5</v>
      </c>
      <c r="H20" s="83">
        <f t="shared" si="1"/>
        <v>0</v>
      </c>
      <c r="I20" s="82">
        <f t="shared" si="1"/>
        <v>0.51890693917647057</v>
      </c>
      <c r="J20" s="82">
        <f t="shared" si="1"/>
        <v>0.51890693917647057</v>
      </c>
      <c r="K20" s="82">
        <f t="shared" si="1"/>
        <v>13.547163593445143</v>
      </c>
      <c r="L20" s="82">
        <f t="shared" si="1"/>
        <v>2.5485749421706858</v>
      </c>
      <c r="M20" s="86">
        <f t="shared" si="1"/>
        <v>6348.3388746143819</v>
      </c>
      <c r="N20" s="84"/>
      <c r="O20" s="82">
        <f t="shared" ref="O20:X20" si="2">SUM(O9:O19)</f>
        <v>0.11847190392156862</v>
      </c>
      <c r="P20" s="82">
        <f t="shared" si="2"/>
        <v>6.4174329411764708E-3</v>
      </c>
      <c r="Q20" s="82">
        <f t="shared" si="2"/>
        <v>1.9291274223343287</v>
      </c>
      <c r="R20" s="82">
        <f t="shared" si="2"/>
        <v>2.9537344711239939</v>
      </c>
      <c r="S20" s="82">
        <f t="shared" si="2"/>
        <v>4.9019607843137256E-6</v>
      </c>
      <c r="T20" s="82">
        <f t="shared" si="2"/>
        <v>0</v>
      </c>
      <c r="U20" s="82">
        <f t="shared" si="2"/>
        <v>0.11847190392156862</v>
      </c>
      <c r="V20" s="82">
        <f t="shared" si="2"/>
        <v>0.11847190392156862</v>
      </c>
      <c r="W20" s="82">
        <f t="shared" si="2"/>
        <v>3.0929597245308553</v>
      </c>
      <c r="X20" s="82">
        <f t="shared" si="2"/>
        <v>0.58186642515312459</v>
      </c>
    </row>
    <row r="21" spans="1:24" x14ac:dyDescent="0.2">
      <c r="C21" s="40"/>
      <c r="I21" s="40"/>
      <c r="L21" s="2"/>
      <c r="M21" s="2"/>
      <c r="N21" s="49"/>
      <c r="O21" s="49"/>
    </row>
  </sheetData>
  <phoneticPr fontId="8" type="noConversion"/>
  <pageMargins left="0.75" right="0.75" top="1" bottom="1" header="0.5" footer="0.5"/>
  <pageSetup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6"/>
  <sheetViews>
    <sheetView tabSelected="1" zoomScale="85" workbookViewId="0"/>
  </sheetViews>
  <sheetFormatPr defaultRowHeight="12.75" x14ac:dyDescent="0.2"/>
  <sheetData>
    <row r="1" spans="1:34" ht="26.25" x14ac:dyDescent="0.4">
      <c r="A1" s="34" t="s">
        <v>21</v>
      </c>
      <c r="B1" s="34"/>
      <c r="C1" s="34"/>
      <c r="D1" s="34"/>
      <c r="E1" s="34"/>
      <c r="F1" s="34"/>
      <c r="G1" s="34"/>
    </row>
    <row r="2" spans="1:34" x14ac:dyDescent="0.2">
      <c r="A2" t="s">
        <v>0</v>
      </c>
      <c r="B2" s="11" t="str">
        <f>'Controlled Emissions'!B2</f>
        <v>ABC Company</v>
      </c>
      <c r="C2" s="11"/>
    </row>
    <row r="3" spans="1:34" ht="12.75" customHeight="1" x14ac:dyDescent="0.2">
      <c r="A3" t="s">
        <v>1</v>
      </c>
      <c r="B3" s="11" t="str">
        <f>'Controlled Emissions'!B3</f>
        <v>State of Utah</v>
      </c>
      <c r="C3" s="11"/>
    </row>
    <row r="4" spans="1:34" x14ac:dyDescent="0.2">
      <c r="A4" t="s">
        <v>2</v>
      </c>
      <c r="B4" s="11" t="str">
        <f>'Controlled Emissions'!B4</f>
        <v>January 2014</v>
      </c>
      <c r="C4" s="11"/>
    </row>
    <row r="6" spans="1:34" x14ac:dyDescent="0.2">
      <c r="D6" s="241" t="str">
        <f>'1.4'!$A$1</f>
        <v>Heaters/Boilers</v>
      </c>
      <c r="E6" s="243"/>
      <c r="F6" s="241" t="str">
        <f>'3.2'!$A$1</f>
        <v>Pumpjack Engine</v>
      </c>
      <c r="G6" s="243"/>
      <c r="H6" s="244" t="s">
        <v>183</v>
      </c>
      <c r="I6" s="243"/>
      <c r="J6" s="244" t="s">
        <v>229</v>
      </c>
      <c r="K6" s="243"/>
      <c r="L6" s="244" t="s">
        <v>230</v>
      </c>
      <c r="M6" s="242"/>
      <c r="N6" s="244" t="s">
        <v>232</v>
      </c>
      <c r="O6" s="243"/>
      <c r="P6" s="244" t="s">
        <v>186</v>
      </c>
      <c r="Q6" s="243"/>
      <c r="R6" s="244" t="s">
        <v>214</v>
      </c>
      <c r="S6" s="243"/>
      <c r="T6" s="244" t="s">
        <v>261</v>
      </c>
      <c r="U6" s="243"/>
      <c r="V6" s="244" t="s">
        <v>231</v>
      </c>
      <c r="W6" s="243"/>
      <c r="X6" s="244" t="s">
        <v>200</v>
      </c>
      <c r="Y6" s="245"/>
      <c r="Z6" s="246" t="s">
        <v>207</v>
      </c>
      <c r="AA6" s="246"/>
      <c r="AB6" s="246"/>
      <c r="AC6" s="245"/>
      <c r="AD6" s="241" t="s">
        <v>208</v>
      </c>
      <c r="AE6" s="242"/>
      <c r="AF6" s="243"/>
      <c r="AG6" s="6" t="s">
        <v>212</v>
      </c>
      <c r="AH6" s="6" t="s">
        <v>211</v>
      </c>
    </row>
    <row r="7" spans="1:34" ht="13.5" thickBot="1" x14ac:dyDescent="0.25">
      <c r="B7" s="14"/>
      <c r="C7" s="13" t="s">
        <v>12</v>
      </c>
      <c r="D7" s="53" t="s">
        <v>18</v>
      </c>
      <c r="E7" s="61" t="s">
        <v>13</v>
      </c>
      <c r="F7" s="53" t="s">
        <v>18</v>
      </c>
      <c r="G7" s="61" t="s">
        <v>13</v>
      </c>
      <c r="H7" s="53" t="s">
        <v>18</v>
      </c>
      <c r="I7" s="61" t="s">
        <v>13</v>
      </c>
      <c r="J7" s="53" t="s">
        <v>18</v>
      </c>
      <c r="K7" s="61" t="s">
        <v>13</v>
      </c>
      <c r="L7" s="53" t="s">
        <v>18</v>
      </c>
      <c r="M7" s="134" t="s">
        <v>13</v>
      </c>
      <c r="N7" s="53" t="s">
        <v>18</v>
      </c>
      <c r="O7" s="61" t="s">
        <v>13</v>
      </c>
      <c r="P7" s="53" t="s">
        <v>18</v>
      </c>
      <c r="Q7" s="61" t="s">
        <v>13</v>
      </c>
      <c r="R7" s="53" t="s">
        <v>18</v>
      </c>
      <c r="S7" s="61" t="s">
        <v>13</v>
      </c>
      <c r="T7" s="53" t="s">
        <v>18</v>
      </c>
      <c r="U7" s="61" t="s">
        <v>13</v>
      </c>
      <c r="V7" s="53" t="s">
        <v>18</v>
      </c>
      <c r="W7" s="61" t="s">
        <v>13</v>
      </c>
      <c r="X7" s="53" t="s">
        <v>18</v>
      </c>
      <c r="Y7" s="61" t="s">
        <v>13</v>
      </c>
      <c r="Z7" s="178" t="s">
        <v>202</v>
      </c>
      <c r="AA7" s="22" t="s">
        <v>203</v>
      </c>
      <c r="AB7" s="22" t="s">
        <v>204</v>
      </c>
      <c r="AC7" s="66" t="s">
        <v>205</v>
      </c>
      <c r="AD7" s="65" t="s">
        <v>206</v>
      </c>
      <c r="AE7" s="22" t="s">
        <v>204</v>
      </c>
      <c r="AF7" s="66" t="s">
        <v>205</v>
      </c>
      <c r="AG7" s="42" t="s">
        <v>210</v>
      </c>
      <c r="AH7" s="42" t="s">
        <v>210</v>
      </c>
    </row>
    <row r="8" spans="1:34" x14ac:dyDescent="0.2">
      <c r="C8" s="17" t="s">
        <v>93</v>
      </c>
      <c r="D8" s="163"/>
      <c r="E8" s="164"/>
      <c r="F8" s="165">
        <f>'3.2'!E35</f>
        <v>6.0333E-5</v>
      </c>
      <c r="G8" s="166">
        <f>'3.2'!F35</f>
        <v>2.6425853999999997E-4</v>
      </c>
      <c r="H8" s="163"/>
      <c r="I8" s="164"/>
      <c r="J8" s="163"/>
      <c r="K8" s="164"/>
      <c r="L8" s="163"/>
      <c r="M8" s="157"/>
      <c r="N8" s="163"/>
      <c r="O8" s="164"/>
      <c r="P8" s="163"/>
      <c r="Q8" s="164"/>
      <c r="R8" s="163"/>
      <c r="S8" s="164"/>
      <c r="T8" s="208"/>
      <c r="U8" s="208"/>
      <c r="V8" s="163"/>
      <c r="W8" s="164"/>
      <c r="X8" s="165">
        <f>D8+F8+H8+J8+L8+N8+P8+R8+T8+V8</f>
        <v>6.0333E-5</v>
      </c>
      <c r="Y8" s="166">
        <f>E8+G8+I8+K8+M8+O8+Q8+S8+U8+W8</f>
        <v>2.6425853999999997E-4</v>
      </c>
      <c r="Z8" s="144">
        <v>0.35</v>
      </c>
      <c r="AA8" s="5">
        <v>0.45300000000000001</v>
      </c>
      <c r="AB8" s="5">
        <v>0.84399999999999997</v>
      </c>
      <c r="AC8" s="135">
        <v>1.847</v>
      </c>
      <c r="AD8" s="137">
        <v>1.359</v>
      </c>
      <c r="AE8" s="5">
        <v>1.538</v>
      </c>
      <c r="AF8" s="135">
        <v>2.5259999999999998</v>
      </c>
      <c r="AG8" t="str">
        <f>IF(AC8=0,"",IF(X8&gt;AC8,$AC$7,IF(X8&gt;AB8,$AB$7,IF(X8&gt;AA8,$AA$7,IF(X8&gt;Z8,$Z$7,"")))))</f>
        <v/>
      </c>
      <c r="AH8" t="str">
        <f>IF(AF8=0,"",IF(X8&gt;AF8,$AF$7,IF(X8&gt;AE8,$AE$7,IF(X8&gt;AD8,$AD$7,""))))</f>
        <v/>
      </c>
    </row>
    <row r="9" spans="1:34" x14ac:dyDescent="0.2">
      <c r="B9" s="2"/>
      <c r="C9" s="17" t="s">
        <v>94</v>
      </c>
      <c r="D9" s="55"/>
      <c r="E9" s="58"/>
      <c r="F9" s="165">
        <f>'3.2'!E36</f>
        <v>4.7957000000000002E-5</v>
      </c>
      <c r="G9" s="166">
        <f>'3.2'!F36</f>
        <v>2.1005165999999999E-4</v>
      </c>
      <c r="H9" s="55"/>
      <c r="I9" s="58"/>
      <c r="J9" s="55"/>
      <c r="K9" s="58"/>
      <c r="L9" s="55"/>
      <c r="M9" s="146"/>
      <c r="N9" s="55"/>
      <c r="O9" s="58"/>
      <c r="P9" s="55"/>
      <c r="Q9" s="58"/>
      <c r="R9" s="55"/>
      <c r="S9" s="58"/>
      <c r="T9" s="2"/>
      <c r="U9" s="2"/>
      <c r="V9" s="55"/>
      <c r="W9" s="58"/>
      <c r="X9" s="165">
        <f t="shared" ref="X9:X64" si="0">D9+F9+H9+J9+L9+N9+P9+R9+T9+V9</f>
        <v>4.7957000000000002E-5</v>
      </c>
      <c r="Y9" s="166">
        <f t="shared" ref="Y9:Y64" si="1">E9+G9+I9+K9+M9+O9+Q9+S9+U9+W9</f>
        <v>2.1005165999999999E-4</v>
      </c>
      <c r="Z9" s="144">
        <v>2.7829999999999999</v>
      </c>
      <c r="AA9" s="5">
        <v>3.601</v>
      </c>
      <c r="AB9" s="5">
        <v>6.7110000000000003</v>
      </c>
      <c r="AC9" s="135">
        <v>14.677</v>
      </c>
      <c r="AD9" s="137">
        <v>10.803000000000001</v>
      </c>
      <c r="AE9" s="5">
        <v>12.222</v>
      </c>
      <c r="AF9" s="135">
        <v>20.077999999999999</v>
      </c>
      <c r="AG9" t="str">
        <f>IF(AC9=0,"",IF(X9&gt;AC9,$AC$7,IF(X9&gt;AB9,$AB$7,IF(X9&gt;AA9,$AA$7,IF(X9&gt;Z9,$Z$7,"")))))</f>
        <v/>
      </c>
      <c r="AH9" t="str">
        <f t="shared" ref="AH9:AH64" si="2">IF(AF9=0,"",IF(X9&gt;AF9,$AF$7,IF(X9&gt;AE9,$AE$7,IF(X9&gt;AD9,$AD$7,""))))</f>
        <v/>
      </c>
    </row>
    <row r="10" spans="1:34" x14ac:dyDescent="0.2">
      <c r="B10" s="2"/>
      <c r="C10" s="17" t="s">
        <v>74</v>
      </c>
      <c r="D10" s="55"/>
      <c r="E10" s="58"/>
      <c r="F10" s="165">
        <f>'3.2'!E37</f>
        <v>7.4620000000000003E-4</v>
      </c>
      <c r="G10" s="166">
        <f>'3.2'!F37</f>
        <v>3.2683560000000005E-3</v>
      </c>
      <c r="H10" s="55"/>
      <c r="I10" s="58"/>
      <c r="J10" s="55"/>
      <c r="K10" s="58"/>
      <c r="L10" s="55"/>
      <c r="M10" s="146"/>
      <c r="N10" s="55"/>
      <c r="O10" s="58"/>
      <c r="P10" s="55"/>
      <c r="Q10" s="58"/>
      <c r="R10" s="55"/>
      <c r="S10" s="58"/>
      <c r="T10" s="2"/>
      <c r="U10" s="2"/>
      <c r="V10" s="55"/>
      <c r="W10" s="58"/>
      <c r="X10" s="165">
        <f t="shared" si="0"/>
        <v>7.4620000000000003E-4</v>
      </c>
      <c r="Y10" s="166">
        <f t="shared" si="1"/>
        <v>3.2683560000000005E-3</v>
      </c>
      <c r="Z10" s="144">
        <v>7.5200000000000003E-2</v>
      </c>
      <c r="AA10" s="5">
        <v>9.7299999999999998E-2</v>
      </c>
      <c r="AB10" s="5">
        <v>0.18140000000000001</v>
      </c>
      <c r="AC10" s="135">
        <v>0.3982</v>
      </c>
      <c r="AD10" s="137">
        <v>0.29199999999999998</v>
      </c>
      <c r="AE10" s="5">
        <v>0.3584</v>
      </c>
      <c r="AF10" s="135">
        <v>0.54420000000000002</v>
      </c>
      <c r="AG10" t="str">
        <f>IF(AC10=0,"",IF(X10&gt;AC10,$AC$7,IF(X10&gt;AB10,$AB$7,IF(X10&gt;AA10,$AA$7,IF(X10&gt;Z10,$Z$7,"")))))</f>
        <v/>
      </c>
      <c r="AH10" t="str">
        <f t="shared" si="2"/>
        <v/>
      </c>
    </row>
    <row r="11" spans="1:34" x14ac:dyDescent="0.2">
      <c r="C11" s="17" t="s">
        <v>95</v>
      </c>
      <c r="D11" s="55"/>
      <c r="E11" s="58"/>
      <c r="F11" s="165">
        <f>'3.2'!E38</f>
        <v>3.9858000000000004E-5</v>
      </c>
      <c r="G11" s="166">
        <f>'3.2'!F38</f>
        <v>1.7457804000000002E-4</v>
      </c>
      <c r="H11" s="55"/>
      <c r="I11" s="58"/>
      <c r="J11" s="55"/>
      <c r="K11" s="58"/>
      <c r="L11" s="55"/>
      <c r="M11" s="146"/>
      <c r="N11" s="55"/>
      <c r="O11" s="58"/>
      <c r="P11" s="55"/>
      <c r="Q11" s="58"/>
      <c r="R11" s="55"/>
      <c r="S11" s="58"/>
      <c r="T11" s="2"/>
      <c r="U11" s="2"/>
      <c r="V11" s="55"/>
      <c r="W11" s="58"/>
      <c r="X11" s="165">
        <f t="shared" si="0"/>
        <v>3.9858000000000004E-5</v>
      </c>
      <c r="Y11" s="166">
        <f t="shared" si="1"/>
        <v>1.7457804000000002E-4</v>
      </c>
      <c r="Z11" s="144">
        <v>0.23100000000000001</v>
      </c>
      <c r="AA11" s="5">
        <v>0.3</v>
      </c>
      <c r="AB11" s="5">
        <v>0.55800000000000005</v>
      </c>
      <c r="AC11" s="135">
        <v>1.2210000000000001</v>
      </c>
      <c r="AD11" s="137">
        <v>0.89900000000000002</v>
      </c>
      <c r="AE11" s="5">
        <v>1.0169999999999999</v>
      </c>
      <c r="AF11" s="135">
        <v>1.67</v>
      </c>
      <c r="AG11" t="str">
        <f>IF(AC11=0,"",IF(X11&gt;AC11,$AC$7,IF(X11&gt;AB11,$AB$7,IF(X11&gt;AA11,$AA$7,IF(X11&gt;Z11,$Z$7,"")))))</f>
        <v/>
      </c>
      <c r="AH11" t="str">
        <f t="shared" si="2"/>
        <v/>
      </c>
    </row>
    <row r="12" spans="1:34" x14ac:dyDescent="0.2">
      <c r="C12" s="17" t="s">
        <v>96</v>
      </c>
      <c r="D12" s="55"/>
      <c r="E12" s="58"/>
      <c r="F12" s="165">
        <f>'3.2'!E39</f>
        <v>7.6986000000000003E-4</v>
      </c>
      <c r="G12" s="166">
        <f>'3.2'!F39</f>
        <v>3.3719868000000003E-3</v>
      </c>
      <c r="H12" s="167">
        <f>'5.2'!F34</f>
        <v>1.9787961507004903E-2</v>
      </c>
      <c r="I12" s="168">
        <f>'5.2'!G34</f>
        <v>8.6671271400681482E-2</v>
      </c>
      <c r="J12" s="167">
        <f>'7.1'!I24</f>
        <v>5.3080479484916962E-4</v>
      </c>
      <c r="K12" s="158">
        <f>'7.1'!J24</f>
        <v>2.3249250014393628E-3</v>
      </c>
      <c r="L12" s="167">
        <f>'V-B'!L52</f>
        <v>1.6968881031621495E-3</v>
      </c>
      <c r="M12" s="158">
        <f>'V-B'!M52</f>
        <v>7.4323698918502146E-3</v>
      </c>
      <c r="N12" s="176"/>
      <c r="O12" s="177"/>
      <c r="P12" s="173"/>
      <c r="Q12" s="175"/>
      <c r="R12" s="167">
        <f>Dehy!G24</f>
        <v>2.7492643328259794E-4</v>
      </c>
      <c r="S12" s="168">
        <f>Dehy!H24</f>
        <v>1.2041777777777789E-3</v>
      </c>
      <c r="T12" s="209">
        <f>Pneu!F31</f>
        <v>7.5624709573511037E-3</v>
      </c>
      <c r="U12" s="209">
        <f>Pneu!G31</f>
        <v>3.3123622793197832E-2</v>
      </c>
      <c r="V12" s="167">
        <f>Fug!H47</f>
        <v>4.0814252291662603E-4</v>
      </c>
      <c r="W12" s="168">
        <f>Fug!I47</f>
        <v>1.787664250374822E-3</v>
      </c>
      <c r="X12" s="165">
        <f t="shared" si="0"/>
        <v>3.103105431856655E-2</v>
      </c>
      <c r="Y12" s="166">
        <f t="shared" si="1"/>
        <v>0.13591601791532151</v>
      </c>
      <c r="Z12" s="144"/>
      <c r="AA12" s="5"/>
      <c r="AB12" s="5"/>
      <c r="AC12" s="135"/>
      <c r="AD12" s="137"/>
      <c r="AE12" s="5"/>
      <c r="AF12" s="135"/>
      <c r="AG12" t="str">
        <f>IF(AC12=0,"",IF(X12&gt;AC12,$AC$7,IF(X12&gt;AB12,$AB$7,IF(X12&gt;AA12,$AA$7,IF(X12&gt;Z12,$Z$7,"")))))</f>
        <v/>
      </c>
      <c r="AH12" t="str">
        <f t="shared" si="2"/>
        <v/>
      </c>
    </row>
    <row r="13" spans="1:34" x14ac:dyDescent="0.2">
      <c r="C13" s="17" t="s">
        <v>43</v>
      </c>
      <c r="D13" s="165">
        <f>'1.4'!F40</f>
        <v>2.3529411764705881E-7</v>
      </c>
      <c r="E13" s="166">
        <f>'1.4'!G40</f>
        <v>1.0305882352941175E-6</v>
      </c>
      <c r="F13" s="165">
        <f>'3.2'!E40</f>
        <v>1.9474E-5</v>
      </c>
      <c r="G13" s="166">
        <f>'3.2'!F40</f>
        <v>8.5296119999999999E-5</v>
      </c>
      <c r="H13" s="173"/>
      <c r="I13" s="175"/>
      <c r="J13" s="173"/>
      <c r="K13" s="175"/>
      <c r="L13" s="173"/>
      <c r="M13" s="161"/>
      <c r="N13" s="173"/>
      <c r="O13" s="175"/>
      <c r="P13" s="173"/>
      <c r="Q13" s="175"/>
      <c r="R13" s="173"/>
      <c r="S13" s="175"/>
      <c r="T13" s="210"/>
      <c r="U13" s="210"/>
      <c r="V13" s="173"/>
      <c r="W13" s="175"/>
      <c r="X13" s="165">
        <f t="shared" si="0"/>
        <v>1.970929411764706E-5</v>
      </c>
      <c r="Y13" s="166">
        <f t="shared" si="1"/>
        <v>8.6326708235294114E-5</v>
      </c>
      <c r="Z13" s="144"/>
      <c r="AA13" s="5"/>
      <c r="AB13" s="5"/>
      <c r="AC13" s="135"/>
      <c r="AD13" s="137"/>
      <c r="AE13" s="5"/>
      <c r="AF13" s="135"/>
      <c r="AG13" t="str">
        <f t="shared" ref="AG13:AG64" si="3">IF(AC13=0,"",IF(X13&gt;AC13,$AC$7,IF(X13&gt;AB13,$AB$7,IF(X13&gt;AA13,$AA$7,IF(X13&gt;Z13,$Z$7,"")))))</f>
        <v/>
      </c>
      <c r="AH13" t="str">
        <f t="shared" si="2"/>
        <v/>
      </c>
    </row>
    <row r="14" spans="1:34" x14ac:dyDescent="0.2">
      <c r="C14" s="17" t="s">
        <v>44</v>
      </c>
      <c r="D14" s="165">
        <f>'1.4'!F41</f>
        <v>1.7647058823529412E-8</v>
      </c>
      <c r="E14" s="166">
        <f>'1.4'!G41</f>
        <v>7.7294117647058823E-8</v>
      </c>
      <c r="F14" s="173"/>
      <c r="G14" s="174"/>
      <c r="H14" s="173"/>
      <c r="I14" s="175"/>
      <c r="J14" s="173"/>
      <c r="K14" s="175"/>
      <c r="L14" s="173"/>
      <c r="M14" s="161"/>
      <c r="N14" s="173"/>
      <c r="O14" s="175"/>
      <c r="P14" s="173"/>
      <c r="Q14" s="175"/>
      <c r="R14" s="173"/>
      <c r="S14" s="175"/>
      <c r="T14" s="210"/>
      <c r="U14" s="210"/>
      <c r="V14" s="173"/>
      <c r="W14" s="175"/>
      <c r="X14" s="165">
        <f t="shared" si="0"/>
        <v>1.7647058823529412E-8</v>
      </c>
      <c r="Y14" s="166">
        <f t="shared" si="1"/>
        <v>7.7294117647058823E-8</v>
      </c>
      <c r="Z14" s="144"/>
      <c r="AA14" s="5"/>
      <c r="AB14" s="5"/>
      <c r="AC14" s="135"/>
      <c r="AD14" s="137"/>
      <c r="AE14" s="5"/>
      <c r="AF14" s="135"/>
      <c r="AG14" t="str">
        <f t="shared" si="3"/>
        <v/>
      </c>
      <c r="AH14" t="str">
        <f t="shared" si="2"/>
        <v/>
      </c>
    </row>
    <row r="15" spans="1:34" x14ac:dyDescent="0.2">
      <c r="C15" s="17" t="s">
        <v>45</v>
      </c>
      <c r="D15" s="165">
        <f>'1.4'!F42</f>
        <v>1.5686274509803921E-7</v>
      </c>
      <c r="E15" s="166">
        <f>'1.4'!G42</f>
        <v>6.8705882352941166E-7</v>
      </c>
      <c r="F15" s="173"/>
      <c r="G15" s="174"/>
      <c r="H15" s="173"/>
      <c r="I15" s="175"/>
      <c r="J15" s="173"/>
      <c r="K15" s="175"/>
      <c r="L15" s="173"/>
      <c r="M15" s="161"/>
      <c r="N15" s="173"/>
      <c r="O15" s="175"/>
      <c r="P15" s="173"/>
      <c r="Q15" s="175"/>
      <c r="R15" s="173"/>
      <c r="S15" s="175"/>
      <c r="T15" s="210"/>
      <c r="U15" s="210"/>
      <c r="V15" s="173"/>
      <c r="W15" s="175"/>
      <c r="X15" s="165">
        <f t="shared" si="0"/>
        <v>1.5686274509803921E-7</v>
      </c>
      <c r="Y15" s="166">
        <f t="shared" si="1"/>
        <v>6.8705882352941166E-7</v>
      </c>
      <c r="Z15" s="144"/>
      <c r="AA15" s="5"/>
      <c r="AB15" s="5"/>
      <c r="AC15" s="135"/>
      <c r="AD15" s="137"/>
      <c r="AE15" s="5"/>
      <c r="AF15" s="135"/>
      <c r="AG15" t="str">
        <f t="shared" si="3"/>
        <v/>
      </c>
      <c r="AH15" t="str">
        <f t="shared" si="2"/>
        <v/>
      </c>
    </row>
    <row r="16" spans="1:34" x14ac:dyDescent="0.2">
      <c r="C16" s="17" t="s">
        <v>46</v>
      </c>
      <c r="D16" s="165">
        <f>'1.4'!F43</f>
        <v>1.7647058823529412E-8</v>
      </c>
      <c r="E16" s="166">
        <f>'1.4'!G43</f>
        <v>7.7294117647058823E-8</v>
      </c>
      <c r="F16" s="165">
        <f>'3.2'!E41</f>
        <v>1.2103000000000001E-6</v>
      </c>
      <c r="G16" s="166">
        <f>'3.2'!F41</f>
        <v>5.3011139999999999E-6</v>
      </c>
      <c r="H16" s="173"/>
      <c r="I16" s="175"/>
      <c r="J16" s="173"/>
      <c r="K16" s="175"/>
      <c r="L16" s="173"/>
      <c r="M16" s="161"/>
      <c r="N16" s="173"/>
      <c r="O16" s="175"/>
      <c r="P16" s="173"/>
      <c r="Q16" s="175"/>
      <c r="R16" s="173"/>
      <c r="S16" s="175"/>
      <c r="T16" s="210"/>
      <c r="U16" s="210"/>
      <c r="V16" s="173"/>
      <c r="W16" s="175"/>
      <c r="X16" s="165">
        <f t="shared" si="0"/>
        <v>1.2279470588235294E-6</v>
      </c>
      <c r="Y16" s="166">
        <f t="shared" si="1"/>
        <v>5.3784081176470584E-6</v>
      </c>
      <c r="Z16" s="144"/>
      <c r="AA16" s="5"/>
      <c r="AB16" s="5"/>
      <c r="AC16" s="135"/>
      <c r="AD16" s="137"/>
      <c r="AE16" s="5"/>
      <c r="AF16" s="135"/>
      <c r="AG16" t="str">
        <f t="shared" si="3"/>
        <v/>
      </c>
      <c r="AH16" t="str">
        <f t="shared" si="2"/>
        <v/>
      </c>
    </row>
    <row r="17" spans="3:34" x14ac:dyDescent="0.2">
      <c r="C17" s="17" t="s">
        <v>47</v>
      </c>
      <c r="D17" s="165">
        <f>'1.4'!F44</f>
        <v>1.7647058823529412E-8</v>
      </c>
      <c r="E17" s="166">
        <f>'1.4'!G44</f>
        <v>7.7294117647058823E-8</v>
      </c>
      <c r="F17" s="165">
        <f>'3.2'!E42</f>
        <v>2.8847000000000001E-6</v>
      </c>
      <c r="G17" s="166">
        <f>'3.2'!F42</f>
        <v>1.2634986E-5</v>
      </c>
      <c r="H17" s="173"/>
      <c r="I17" s="175"/>
      <c r="J17" s="173"/>
      <c r="K17" s="175"/>
      <c r="L17" s="173"/>
      <c r="M17" s="161"/>
      <c r="N17" s="173"/>
      <c r="O17" s="175"/>
      <c r="P17" s="173"/>
      <c r="Q17" s="175"/>
      <c r="R17" s="173"/>
      <c r="S17" s="175"/>
      <c r="T17" s="210"/>
      <c r="U17" s="210"/>
      <c r="V17" s="173"/>
      <c r="W17" s="175"/>
      <c r="X17" s="165">
        <f t="shared" si="0"/>
        <v>2.9023470588235294E-6</v>
      </c>
      <c r="Y17" s="166">
        <f t="shared" si="1"/>
        <v>1.2712280117647059E-5</v>
      </c>
      <c r="Z17" s="144"/>
      <c r="AA17" s="5"/>
      <c r="AB17" s="5"/>
      <c r="AC17" s="135"/>
      <c r="AD17" s="137"/>
      <c r="AE17" s="5"/>
      <c r="AF17" s="135"/>
      <c r="AG17" t="str">
        <f t="shared" si="3"/>
        <v/>
      </c>
      <c r="AH17" t="str">
        <f t="shared" si="2"/>
        <v/>
      </c>
    </row>
    <row r="18" spans="3:34" x14ac:dyDescent="0.2">
      <c r="C18" s="17" t="s">
        <v>75</v>
      </c>
      <c r="D18" s="55"/>
      <c r="E18" s="58"/>
      <c r="F18" s="167">
        <f>'3.2'!E43</f>
        <v>7.0616000000000003E-3</v>
      </c>
      <c r="G18" s="168">
        <f>'3.2'!F43</f>
        <v>3.0929808E-2</v>
      </c>
      <c r="H18" s="176"/>
      <c r="I18" s="177"/>
      <c r="J18" s="176"/>
      <c r="K18" s="177"/>
      <c r="L18" s="176"/>
      <c r="M18" s="162"/>
      <c r="N18" s="176"/>
      <c r="O18" s="177"/>
      <c r="P18" s="176"/>
      <c r="Q18" s="177"/>
      <c r="R18" s="176"/>
      <c r="S18" s="177"/>
      <c r="T18" s="7"/>
      <c r="U18" s="7"/>
      <c r="V18" s="176"/>
      <c r="W18" s="177"/>
      <c r="X18" s="167">
        <f t="shared" si="0"/>
        <v>7.0616000000000003E-3</v>
      </c>
      <c r="Y18" s="168">
        <f t="shared" si="1"/>
        <v>3.0929808E-2</v>
      </c>
      <c r="Z18" s="144">
        <v>1.7116</v>
      </c>
      <c r="AA18" s="5">
        <v>2.2970999999999999</v>
      </c>
      <c r="AB18" s="5">
        <v>4.1437999999999997</v>
      </c>
      <c r="AC18" s="135">
        <v>8.1074000000000002</v>
      </c>
      <c r="AD18" s="137">
        <v>6.9363000000000001</v>
      </c>
      <c r="AE18" s="5">
        <v>10.0892</v>
      </c>
      <c r="AF18" s="135">
        <v>13.9627</v>
      </c>
      <c r="AG18" t="str">
        <f t="shared" si="3"/>
        <v/>
      </c>
      <c r="AH18" t="str">
        <f t="shared" si="2"/>
        <v/>
      </c>
    </row>
    <row r="19" spans="3:34" x14ac:dyDescent="0.2">
      <c r="C19" s="17" t="s">
        <v>76</v>
      </c>
      <c r="D19" s="55"/>
      <c r="E19" s="58"/>
      <c r="F19" s="167">
        <f>'3.2'!E44</f>
        <v>7.0797999999999998E-3</v>
      </c>
      <c r="G19" s="168">
        <f>'3.2'!F44</f>
        <v>3.1009524E-2</v>
      </c>
      <c r="H19" s="176"/>
      <c r="I19" s="177"/>
      <c r="J19" s="176"/>
      <c r="K19" s="177"/>
      <c r="L19" s="176"/>
      <c r="M19" s="162"/>
      <c r="N19" s="176"/>
      <c r="O19" s="177"/>
      <c r="P19" s="176"/>
      <c r="Q19" s="177"/>
      <c r="R19" s="176"/>
      <c r="S19" s="177"/>
      <c r="T19" s="7"/>
      <c r="U19" s="7"/>
      <c r="V19" s="176"/>
      <c r="W19" s="177"/>
      <c r="X19" s="167">
        <f t="shared" si="0"/>
        <v>7.0797999999999998E-3</v>
      </c>
      <c r="Y19" s="168">
        <f t="shared" si="1"/>
        <v>3.1009524E-2</v>
      </c>
      <c r="Z19" s="144">
        <v>8.6999999999999994E-3</v>
      </c>
      <c r="AA19" s="5">
        <v>1.17E-2</v>
      </c>
      <c r="AB19" s="5">
        <v>2.1100000000000001E-2</v>
      </c>
      <c r="AC19" s="135">
        <v>4.1300000000000003E-2</v>
      </c>
      <c r="AD19" s="137">
        <v>3.5299999999999998E-2</v>
      </c>
      <c r="AE19" s="5">
        <v>5.1400000000000001E-2</v>
      </c>
      <c r="AF19" s="135">
        <v>7.1099999999999997E-2</v>
      </c>
      <c r="AG19" t="str">
        <f t="shared" si="3"/>
        <v/>
      </c>
      <c r="AH19" t="str">
        <f t="shared" si="2"/>
        <v/>
      </c>
    </row>
    <row r="20" spans="3:34" x14ac:dyDescent="0.2">
      <c r="C20" s="17" t="s">
        <v>48</v>
      </c>
      <c r="D20" s="165">
        <f>'1.4'!F45</f>
        <v>2.3529411764705881E-8</v>
      </c>
      <c r="E20" s="166">
        <f>'1.4'!G45</f>
        <v>1.0305882352941177E-7</v>
      </c>
      <c r="F20" s="165">
        <f>'3.2'!E45</f>
        <v>6.5338000000000004E-7</v>
      </c>
      <c r="G20" s="166">
        <f>'3.2'!F45</f>
        <v>2.8618044000000001E-6</v>
      </c>
      <c r="H20" s="173"/>
      <c r="I20" s="175"/>
      <c r="J20" s="173"/>
      <c r="K20" s="175"/>
      <c r="L20" s="173"/>
      <c r="M20" s="161"/>
      <c r="N20" s="173"/>
      <c r="O20" s="175"/>
      <c r="P20" s="176"/>
      <c r="Q20" s="177"/>
      <c r="R20" s="173"/>
      <c r="S20" s="175"/>
      <c r="T20" s="210"/>
      <c r="U20" s="210"/>
      <c r="V20" s="173"/>
      <c r="W20" s="175"/>
      <c r="X20" s="165">
        <f t="shared" si="0"/>
        <v>6.7690941176470598E-7</v>
      </c>
      <c r="Y20" s="166">
        <f t="shared" si="1"/>
        <v>2.964863223529412E-6</v>
      </c>
      <c r="Z20" s="144"/>
      <c r="AA20" s="5"/>
      <c r="AB20" s="5"/>
      <c r="AC20" s="135"/>
      <c r="AD20" s="137"/>
      <c r="AE20" s="5"/>
      <c r="AF20" s="135"/>
      <c r="AG20" t="str">
        <f t="shared" si="3"/>
        <v/>
      </c>
      <c r="AH20" t="str">
        <f t="shared" si="2"/>
        <v/>
      </c>
    </row>
    <row r="21" spans="3:34" x14ac:dyDescent="0.2">
      <c r="C21" s="17" t="s">
        <v>33</v>
      </c>
      <c r="D21" s="165">
        <f>'1.4'!F64</f>
        <v>1.9607843137254906E-6</v>
      </c>
      <c r="E21" s="166">
        <f>'1.4'!G64</f>
        <v>8.5882352941176483E-6</v>
      </c>
      <c r="F21" s="173"/>
      <c r="G21" s="175"/>
      <c r="H21" s="173"/>
      <c r="I21" s="175"/>
      <c r="J21" s="173"/>
      <c r="K21" s="175"/>
      <c r="L21" s="173"/>
      <c r="M21" s="161"/>
      <c r="N21" s="173"/>
      <c r="O21" s="175"/>
      <c r="P21" s="176"/>
      <c r="Q21" s="177"/>
      <c r="R21" s="173"/>
      <c r="S21" s="175"/>
      <c r="T21" s="210"/>
      <c r="U21" s="210"/>
      <c r="V21" s="173"/>
      <c r="W21" s="175"/>
      <c r="X21" s="165">
        <f t="shared" si="0"/>
        <v>1.9607843137254906E-6</v>
      </c>
      <c r="Y21" s="166">
        <f t="shared" si="1"/>
        <v>8.5882352941176483E-6</v>
      </c>
      <c r="Z21" s="144">
        <v>5.1000000000000004E-4</v>
      </c>
      <c r="AA21" s="5">
        <v>6.6E-4</v>
      </c>
      <c r="AB21" s="5">
        <v>1.23E-3</v>
      </c>
      <c r="AC21" s="135">
        <v>2.6900000000000001E-3</v>
      </c>
      <c r="AD21" s="137">
        <v>1.98E-3</v>
      </c>
      <c r="AE21" s="5">
        <v>2.2399999999999998E-3</v>
      </c>
      <c r="AF21" s="135">
        <v>3.6800000000000001E-3</v>
      </c>
      <c r="AG21" t="str">
        <f t="shared" si="3"/>
        <v/>
      </c>
      <c r="AH21" t="str">
        <f t="shared" si="2"/>
        <v/>
      </c>
    </row>
    <row r="22" spans="3:34" x14ac:dyDescent="0.2">
      <c r="C22" s="17" t="s">
        <v>49</v>
      </c>
      <c r="D22" s="165">
        <f>'1.4'!F46</f>
        <v>1.7647058823529412E-8</v>
      </c>
      <c r="E22" s="166">
        <f>'1.4'!G46</f>
        <v>7.7294117647058823E-8</v>
      </c>
      <c r="F22" s="165">
        <f>'3.2'!E46</f>
        <v>3.0576000000000001E-7</v>
      </c>
      <c r="G22" s="166">
        <f>'3.2'!F46</f>
        <v>1.3392288000000001E-6</v>
      </c>
      <c r="H22" s="173"/>
      <c r="I22" s="175"/>
      <c r="J22" s="173"/>
      <c r="K22" s="175"/>
      <c r="L22" s="173"/>
      <c r="M22" s="161"/>
      <c r="N22" s="173"/>
      <c r="O22" s="175"/>
      <c r="P22" s="176"/>
      <c r="Q22" s="177"/>
      <c r="R22" s="173"/>
      <c r="S22" s="175"/>
      <c r="T22" s="210"/>
      <c r="U22" s="210"/>
      <c r="V22" s="173"/>
      <c r="W22" s="175"/>
      <c r="X22" s="165">
        <f t="shared" si="0"/>
        <v>3.234070588235294E-7</v>
      </c>
      <c r="Y22" s="166">
        <f t="shared" si="1"/>
        <v>1.416522917647059E-6</v>
      </c>
      <c r="Z22" s="144"/>
      <c r="AA22" s="5"/>
      <c r="AB22" s="5"/>
      <c r="AC22" s="135"/>
      <c r="AD22" s="137"/>
      <c r="AE22" s="5"/>
      <c r="AF22" s="135"/>
      <c r="AG22" t="str">
        <f t="shared" si="3"/>
        <v/>
      </c>
      <c r="AH22" t="str">
        <f t="shared" si="2"/>
        <v/>
      </c>
    </row>
    <row r="23" spans="3:34" x14ac:dyDescent="0.2">
      <c r="C23" s="17" t="s">
        <v>50</v>
      </c>
      <c r="D23" s="165">
        <f>'1.4'!F47</f>
        <v>2.0588235294117645E-5</v>
      </c>
      <c r="E23" s="166">
        <f>'1.4'!G47</f>
        <v>9.0176470588235289E-5</v>
      </c>
      <c r="F23" s="167">
        <f>'3.2'!E47</f>
        <v>1.7654000000000001E-3</v>
      </c>
      <c r="G23" s="168">
        <f>'3.2'!F47</f>
        <v>7.7324519999999999E-3</v>
      </c>
      <c r="H23" s="167">
        <f>'5.2'!F30</f>
        <v>3.2635116256256508E-2</v>
      </c>
      <c r="I23" s="168">
        <f>'5.2'!G30</f>
        <v>0.14294180920240351</v>
      </c>
      <c r="J23" s="167">
        <f>'7.1'!I20</f>
        <v>8.7542499934360437E-4</v>
      </c>
      <c r="K23" s="168">
        <f>'7.1'!J20</f>
        <v>3.8343614971249871E-3</v>
      </c>
      <c r="L23" s="167">
        <f>'V-B'!L48</f>
        <v>2.7985773320284442E-3</v>
      </c>
      <c r="M23" s="158">
        <f>'V-B'!M48</f>
        <v>1.2257768714284585E-2</v>
      </c>
      <c r="N23" s="173"/>
      <c r="O23" s="175"/>
      <c r="P23" s="176"/>
      <c r="Q23" s="177"/>
      <c r="R23" s="167">
        <f>Dehy!G20</f>
        <v>2.7292947742262836E-2</v>
      </c>
      <c r="S23" s="168">
        <f>Dehy!H20</f>
        <v>0.11954311111111121</v>
      </c>
      <c r="T23" s="209">
        <f>Pneu!F27</f>
        <v>1.2472336717976191E-2</v>
      </c>
      <c r="U23" s="209">
        <f>Pneu!G27</f>
        <v>5.4628834824735718E-2</v>
      </c>
      <c r="V23" s="167">
        <f>Fug!H43</f>
        <v>6.7312535855655207E-4</v>
      </c>
      <c r="W23" s="168">
        <f>Fug!I43</f>
        <v>2.9482890704776981E-3</v>
      </c>
      <c r="X23" s="167">
        <f t="shared" si="0"/>
        <v>7.853351664171826E-2</v>
      </c>
      <c r="Y23" s="168">
        <f t="shared" si="1"/>
        <v>0.34397680289072596</v>
      </c>
      <c r="Z23" s="144">
        <v>8.1500000000000003E-2</v>
      </c>
      <c r="AA23" s="5">
        <v>0.10539999999999999</v>
      </c>
      <c r="AB23" s="5">
        <v>0.19650000000000001</v>
      </c>
      <c r="AC23" s="135">
        <v>0.42970000000000003</v>
      </c>
      <c r="AD23" s="137">
        <v>0.31630000000000003</v>
      </c>
      <c r="AE23" s="5">
        <v>0.35780000000000001</v>
      </c>
      <c r="AF23" s="135">
        <v>0.58779999999999999</v>
      </c>
      <c r="AG23" t="str">
        <f t="shared" si="3"/>
        <v/>
      </c>
      <c r="AH23" t="str">
        <f t="shared" si="2"/>
        <v/>
      </c>
    </row>
    <row r="24" spans="3:34" x14ac:dyDescent="0.2">
      <c r="C24" s="17" t="s">
        <v>51</v>
      </c>
      <c r="D24" s="165">
        <f>'1.4'!F48</f>
        <v>1.1764705882352941E-8</v>
      </c>
      <c r="E24" s="166">
        <f>'1.4'!G48</f>
        <v>5.1529411764705884E-8</v>
      </c>
      <c r="F24" s="165">
        <f>'3.2'!E48</f>
        <v>5.1688000000000006E-9</v>
      </c>
      <c r="G24" s="166">
        <f>'3.2'!F48</f>
        <v>2.2639344000000002E-8</v>
      </c>
      <c r="H24" s="173"/>
      <c r="I24" s="175"/>
      <c r="J24" s="173"/>
      <c r="K24" s="175"/>
      <c r="L24" s="173"/>
      <c r="M24" s="161"/>
      <c r="N24" s="173"/>
      <c r="O24" s="175"/>
      <c r="P24" s="176"/>
      <c r="Q24" s="177"/>
      <c r="R24" s="173"/>
      <c r="S24" s="175"/>
      <c r="T24" s="210"/>
      <c r="U24" s="210"/>
      <c r="V24" s="173"/>
      <c r="W24" s="175"/>
      <c r="X24" s="165">
        <f t="shared" si="0"/>
        <v>1.693350588235294E-8</v>
      </c>
      <c r="Y24" s="166">
        <f t="shared" si="1"/>
        <v>7.416875576470589E-8</v>
      </c>
      <c r="Z24" s="144"/>
      <c r="AA24" s="5"/>
      <c r="AB24" s="5"/>
      <c r="AC24" s="135"/>
      <c r="AD24" s="137"/>
      <c r="AE24" s="5"/>
      <c r="AF24" s="135"/>
      <c r="AG24" t="str">
        <f t="shared" si="3"/>
        <v/>
      </c>
      <c r="AH24" t="str">
        <f t="shared" si="2"/>
        <v/>
      </c>
    </row>
    <row r="25" spans="3:34" x14ac:dyDescent="0.2">
      <c r="C25" s="17" t="s">
        <v>52</v>
      </c>
      <c r="D25" s="165">
        <f>'1.4'!F49</f>
        <v>1.7647058823529412E-8</v>
      </c>
      <c r="E25" s="166">
        <f>'1.4'!G49</f>
        <v>7.7294117647058823E-8</v>
      </c>
      <c r="F25" s="165">
        <f>'3.2'!E49</f>
        <v>7.7441000000000002E-9</v>
      </c>
      <c r="G25" s="166">
        <f>'3.2'!F49</f>
        <v>3.3919158000000005E-8</v>
      </c>
      <c r="H25" s="173"/>
      <c r="I25" s="175"/>
      <c r="J25" s="173"/>
      <c r="K25" s="175"/>
      <c r="L25" s="173"/>
      <c r="M25" s="161"/>
      <c r="N25" s="173"/>
      <c r="O25" s="175"/>
      <c r="P25" s="176"/>
      <c r="Q25" s="177"/>
      <c r="R25" s="173"/>
      <c r="S25" s="175"/>
      <c r="T25" s="210"/>
      <c r="U25" s="210"/>
      <c r="V25" s="173"/>
      <c r="W25" s="175"/>
      <c r="X25" s="165">
        <f t="shared" si="0"/>
        <v>2.5391158823529414E-8</v>
      </c>
      <c r="Y25" s="166">
        <f t="shared" si="1"/>
        <v>1.1121327564705883E-7</v>
      </c>
      <c r="Z25" s="144"/>
      <c r="AA25" s="5"/>
      <c r="AB25" s="5"/>
      <c r="AC25" s="135"/>
      <c r="AD25" s="137"/>
      <c r="AE25" s="5"/>
      <c r="AF25" s="135"/>
      <c r="AG25" t="str">
        <f t="shared" si="3"/>
        <v/>
      </c>
      <c r="AH25" t="str">
        <f t="shared" si="2"/>
        <v/>
      </c>
    </row>
    <row r="26" spans="3:34" x14ac:dyDescent="0.2">
      <c r="C26" s="17" t="s">
        <v>97</v>
      </c>
      <c r="D26" s="55"/>
      <c r="E26" s="58"/>
      <c r="F26" s="165">
        <f>'3.2'!E50</f>
        <v>2.1294000000000002E-8</v>
      </c>
      <c r="G26" s="166">
        <f>'3.2'!F50</f>
        <v>9.3267720000000015E-8</v>
      </c>
      <c r="H26" s="176"/>
      <c r="I26" s="177"/>
      <c r="J26" s="176"/>
      <c r="K26" s="177"/>
      <c r="L26" s="176"/>
      <c r="M26" s="162"/>
      <c r="N26" s="173"/>
      <c r="O26" s="175"/>
      <c r="P26" s="176"/>
      <c r="Q26" s="177"/>
      <c r="R26" s="176"/>
      <c r="S26" s="177"/>
      <c r="T26" s="7"/>
      <c r="U26" s="7"/>
      <c r="V26" s="176"/>
      <c r="W26" s="177"/>
      <c r="X26" s="165">
        <f t="shared" si="0"/>
        <v>2.1294000000000002E-8</v>
      </c>
      <c r="Y26" s="166">
        <f t="shared" si="1"/>
        <v>9.3267720000000015E-8</v>
      </c>
      <c r="Z26" s="144"/>
      <c r="AA26" s="5"/>
      <c r="AB26" s="5"/>
      <c r="AC26" s="135"/>
      <c r="AD26" s="137"/>
      <c r="AE26" s="5"/>
      <c r="AF26" s="135"/>
      <c r="AG26" t="str">
        <f t="shared" si="3"/>
        <v/>
      </c>
      <c r="AH26" t="str">
        <f t="shared" si="2"/>
        <v/>
      </c>
    </row>
    <row r="27" spans="3:34" x14ac:dyDescent="0.2">
      <c r="C27" s="17" t="s">
        <v>98</v>
      </c>
      <c r="D27" s="165">
        <f>'1.4'!F50</f>
        <v>1.1764705882352941E-8</v>
      </c>
      <c r="E27" s="166">
        <f>'1.4'!G50</f>
        <v>5.1529411764705884E-8</v>
      </c>
      <c r="F27" s="165">
        <f>'3.2'!E51</f>
        <v>2.2568000000000001E-8</v>
      </c>
      <c r="G27" s="166">
        <f>'3.2'!F51</f>
        <v>9.8847840000000001E-8</v>
      </c>
      <c r="H27" s="173"/>
      <c r="I27" s="175"/>
      <c r="J27" s="173"/>
      <c r="K27" s="175"/>
      <c r="L27" s="173"/>
      <c r="M27" s="161"/>
      <c r="N27" s="173"/>
      <c r="O27" s="175"/>
      <c r="P27" s="176"/>
      <c r="Q27" s="177"/>
      <c r="R27" s="173"/>
      <c r="S27" s="175"/>
      <c r="T27" s="210"/>
      <c r="U27" s="210"/>
      <c r="V27" s="173"/>
      <c r="W27" s="175"/>
      <c r="X27" s="165">
        <f t="shared" si="0"/>
        <v>3.433270588235294E-8</v>
      </c>
      <c r="Y27" s="166">
        <f t="shared" si="1"/>
        <v>1.5037725176470588E-7</v>
      </c>
      <c r="Z27" s="144"/>
      <c r="AA27" s="5"/>
      <c r="AB27" s="5"/>
      <c r="AC27" s="135"/>
      <c r="AD27" s="137"/>
      <c r="AE27" s="5"/>
      <c r="AF27" s="135"/>
      <c r="AG27" t="str">
        <f t="shared" si="3"/>
        <v/>
      </c>
      <c r="AH27" t="str">
        <f t="shared" si="2"/>
        <v/>
      </c>
    </row>
    <row r="28" spans="3:34" x14ac:dyDescent="0.2">
      <c r="C28" s="17" t="s">
        <v>54</v>
      </c>
      <c r="D28" s="165">
        <f>'1.4'!F51</f>
        <v>1.7647058823529412E-8</v>
      </c>
      <c r="E28" s="166">
        <f>'1.4'!G51</f>
        <v>7.7294117647058823E-8</v>
      </c>
      <c r="F28" s="165">
        <f>'3.2'!E52</f>
        <v>3.8765999999999996E-9</v>
      </c>
      <c r="G28" s="166">
        <f>'3.2'!F52</f>
        <v>1.6979507999999996E-8</v>
      </c>
      <c r="H28" s="173"/>
      <c r="I28" s="175"/>
      <c r="J28" s="173"/>
      <c r="K28" s="175"/>
      <c r="L28" s="173"/>
      <c r="M28" s="161"/>
      <c r="N28" s="173"/>
      <c r="O28" s="175"/>
      <c r="P28" s="176"/>
      <c r="Q28" s="177"/>
      <c r="R28" s="173"/>
      <c r="S28" s="175"/>
      <c r="T28" s="210"/>
      <c r="U28" s="210"/>
      <c r="V28" s="173"/>
      <c r="W28" s="175"/>
      <c r="X28" s="165">
        <f t="shared" si="0"/>
        <v>2.1523658823529412E-8</v>
      </c>
      <c r="Y28" s="166">
        <f t="shared" si="1"/>
        <v>9.4273625647058822E-8</v>
      </c>
      <c r="Z28" s="144"/>
      <c r="AA28" s="5"/>
      <c r="AB28" s="5"/>
      <c r="AC28" s="135"/>
      <c r="AD28" s="137"/>
      <c r="AE28" s="5"/>
      <c r="AF28" s="135"/>
      <c r="AG28" t="str">
        <f t="shared" si="3"/>
        <v/>
      </c>
      <c r="AH28" t="str">
        <f t="shared" si="2"/>
        <v/>
      </c>
    </row>
    <row r="29" spans="3:34" x14ac:dyDescent="0.2">
      <c r="C29" s="17" t="s">
        <v>34</v>
      </c>
      <c r="D29" s="165">
        <f>'1.4'!F65</f>
        <v>1.176470588235294E-7</v>
      </c>
      <c r="E29" s="166">
        <f>'1.4'!G65</f>
        <v>5.1529411764705875E-7</v>
      </c>
      <c r="F29" s="173"/>
      <c r="G29" s="175"/>
      <c r="H29" s="173"/>
      <c r="I29" s="175"/>
      <c r="J29" s="173"/>
      <c r="K29" s="175"/>
      <c r="L29" s="173"/>
      <c r="M29" s="161"/>
      <c r="N29" s="173"/>
      <c r="O29" s="175"/>
      <c r="P29" s="176"/>
      <c r="Q29" s="177"/>
      <c r="R29" s="173"/>
      <c r="S29" s="175"/>
      <c r="T29" s="210"/>
      <c r="U29" s="210"/>
      <c r="V29" s="173"/>
      <c r="W29" s="175"/>
      <c r="X29" s="165">
        <f t="shared" si="0"/>
        <v>1.176470588235294E-7</v>
      </c>
      <c r="Y29" s="166">
        <f t="shared" si="1"/>
        <v>5.1529411764705875E-7</v>
      </c>
      <c r="Z29" s="144">
        <v>2.6000000000000001E-6</v>
      </c>
      <c r="AA29" s="5">
        <v>3.3000000000000002E-6</v>
      </c>
      <c r="AB29" s="5">
        <v>6.1999999999999999E-6</v>
      </c>
      <c r="AC29" s="135">
        <v>1.3499999999999999E-5</v>
      </c>
      <c r="AD29" s="137">
        <v>9.9000000000000001E-6</v>
      </c>
      <c r="AE29" s="5">
        <v>1.1199999999999999E-5</v>
      </c>
      <c r="AF29" s="135">
        <v>1.84E-5</v>
      </c>
      <c r="AG29" t="str">
        <f t="shared" si="3"/>
        <v/>
      </c>
      <c r="AH29" t="str">
        <f t="shared" si="2"/>
        <v/>
      </c>
    </row>
    <row r="30" spans="3:34" x14ac:dyDescent="0.2">
      <c r="C30" s="17" t="s">
        <v>99</v>
      </c>
      <c r="D30" s="55"/>
      <c r="E30" s="58"/>
      <c r="F30" s="165">
        <f>'3.2'!E53</f>
        <v>3.5945000000000005E-6</v>
      </c>
      <c r="G30" s="166">
        <f>'3.2'!F53</f>
        <v>1.5743910000000004E-5</v>
      </c>
      <c r="H30" s="176"/>
      <c r="I30" s="177"/>
      <c r="J30" s="176"/>
      <c r="K30" s="177"/>
      <c r="L30" s="176"/>
      <c r="M30" s="162"/>
      <c r="N30" s="173"/>
      <c r="O30" s="175"/>
      <c r="P30" s="176"/>
      <c r="Q30" s="177"/>
      <c r="R30" s="176"/>
      <c r="S30" s="177"/>
      <c r="T30" s="7"/>
      <c r="U30" s="7"/>
      <c r="V30" s="176"/>
      <c r="W30" s="177"/>
      <c r="X30" s="165">
        <f t="shared" si="0"/>
        <v>3.5945000000000005E-6</v>
      </c>
      <c r="Y30" s="166">
        <f t="shared" si="1"/>
        <v>1.5743910000000004E-5</v>
      </c>
      <c r="Z30" s="144">
        <v>6.4000000000000001E-2</v>
      </c>
      <c r="AA30" s="5">
        <v>8.3000000000000004E-2</v>
      </c>
      <c r="AB30" s="5">
        <v>0.155</v>
      </c>
      <c r="AC30" s="135">
        <v>0.33900000000000002</v>
      </c>
      <c r="AD30" s="137">
        <v>0.25</v>
      </c>
      <c r="AE30" s="5">
        <v>0.28299999999999997</v>
      </c>
      <c r="AF30" s="135">
        <v>0.46400000000000002</v>
      </c>
      <c r="AG30" t="str">
        <f t="shared" si="3"/>
        <v/>
      </c>
      <c r="AH30" t="str">
        <f t="shared" si="2"/>
        <v/>
      </c>
    </row>
    <row r="31" spans="3:34" x14ac:dyDescent="0.2">
      <c r="C31" s="17" t="s">
        <v>35</v>
      </c>
      <c r="D31" s="165">
        <f>'1.4'!F66</f>
        <v>1.0784313725490197E-5</v>
      </c>
      <c r="E31" s="166">
        <f>'1.4'!G66</f>
        <v>4.7235294117647064E-5</v>
      </c>
      <c r="F31" s="173"/>
      <c r="G31" s="175"/>
      <c r="H31" s="173"/>
      <c r="I31" s="175"/>
      <c r="J31" s="173"/>
      <c r="K31" s="175"/>
      <c r="L31" s="173"/>
      <c r="M31" s="161"/>
      <c r="N31" s="173"/>
      <c r="O31" s="175"/>
      <c r="P31" s="176"/>
      <c r="Q31" s="177"/>
      <c r="R31" s="173"/>
      <c r="S31" s="175"/>
      <c r="T31" s="210"/>
      <c r="U31" s="210"/>
      <c r="V31" s="173"/>
      <c r="W31" s="175"/>
      <c r="X31" s="165">
        <f t="shared" si="0"/>
        <v>1.0784313725490197E-5</v>
      </c>
      <c r="Y31" s="166">
        <f t="shared" si="1"/>
        <v>4.7235294117647064E-5</v>
      </c>
      <c r="Z31" s="144">
        <v>3.4E-5</v>
      </c>
      <c r="AA31" s="5">
        <v>4.3999999999999999E-5</v>
      </c>
      <c r="AB31" s="5">
        <v>8.2000000000000001E-5</v>
      </c>
      <c r="AC31" s="135">
        <v>1.8000000000000001E-4</v>
      </c>
      <c r="AD31" s="137">
        <v>1.3200000000000001E-4</v>
      </c>
      <c r="AE31" s="5">
        <v>1.6200000000000001E-4</v>
      </c>
      <c r="AF31" s="135">
        <v>2.4600000000000002E-4</v>
      </c>
      <c r="AG31" t="str">
        <f t="shared" si="3"/>
        <v/>
      </c>
      <c r="AH31" t="str">
        <f t="shared" si="2"/>
        <v/>
      </c>
    </row>
    <row r="32" spans="3:34" x14ac:dyDescent="0.2">
      <c r="C32" s="17" t="s">
        <v>100</v>
      </c>
      <c r="D32" s="55"/>
      <c r="E32" s="58"/>
      <c r="F32" s="165">
        <f>'3.2'!E54</f>
        <v>5.5237E-5</v>
      </c>
      <c r="G32" s="166">
        <f>'3.2'!F54</f>
        <v>2.4193806E-4</v>
      </c>
      <c r="H32" s="176"/>
      <c r="I32" s="177"/>
      <c r="J32" s="176"/>
      <c r="K32" s="177"/>
      <c r="L32" s="176"/>
      <c r="M32" s="162"/>
      <c r="N32" s="173"/>
      <c r="O32" s="175"/>
      <c r="P32" s="176"/>
      <c r="Q32" s="177"/>
      <c r="R32" s="176"/>
      <c r="S32" s="177"/>
      <c r="T32" s="7"/>
      <c r="U32" s="7"/>
      <c r="V32" s="176"/>
      <c r="W32" s="177"/>
      <c r="X32" s="165">
        <f t="shared" si="0"/>
        <v>5.5237E-5</v>
      </c>
      <c r="Y32" s="166">
        <f t="shared" si="1"/>
        <v>2.4193806E-4</v>
      </c>
      <c r="Z32" s="144">
        <v>0.53480000000000005</v>
      </c>
      <c r="AA32" s="5">
        <v>0.69210000000000005</v>
      </c>
      <c r="AB32" s="5">
        <v>1.2899</v>
      </c>
      <c r="AC32" s="135">
        <v>2.8313999999999999</v>
      </c>
      <c r="AD32" s="137">
        <v>2.0764</v>
      </c>
      <c r="AE32" s="5">
        <v>2.5482999999999998</v>
      </c>
      <c r="AF32" s="135">
        <v>3.8696000000000002</v>
      </c>
      <c r="AG32" t="str">
        <f t="shared" si="3"/>
        <v/>
      </c>
      <c r="AH32" t="str">
        <f t="shared" si="2"/>
        <v/>
      </c>
    </row>
    <row r="33" spans="3:34" x14ac:dyDescent="0.2">
      <c r="C33" s="17" t="s">
        <v>101</v>
      </c>
      <c r="D33" s="55"/>
      <c r="E33" s="58"/>
      <c r="F33" s="165">
        <f>'3.2'!E55</f>
        <v>4.0404000000000001E-5</v>
      </c>
      <c r="G33" s="166">
        <f>'3.2'!F55</f>
        <v>1.7696952000000003E-4</v>
      </c>
      <c r="H33" s="176"/>
      <c r="I33" s="177"/>
      <c r="J33" s="176"/>
      <c r="K33" s="177"/>
      <c r="L33" s="176"/>
      <c r="M33" s="162"/>
      <c r="N33" s="173"/>
      <c r="O33" s="175"/>
      <c r="P33" s="176"/>
      <c r="Q33" s="177"/>
      <c r="R33" s="176"/>
      <c r="S33" s="177"/>
      <c r="T33" s="7"/>
      <c r="U33" s="7"/>
      <c r="V33" s="176"/>
      <c r="W33" s="177"/>
      <c r="X33" s="165">
        <f t="shared" si="0"/>
        <v>4.0404000000000001E-5</v>
      </c>
      <c r="Y33" s="166">
        <f t="shared" si="1"/>
        <v>1.7696952000000003E-4</v>
      </c>
      <c r="Z33" s="144">
        <v>2.3479999999999999</v>
      </c>
      <c r="AA33" s="5">
        <v>3.0379999999999998</v>
      </c>
      <c r="AB33" s="5">
        <v>5.6630000000000003</v>
      </c>
      <c r="AC33" s="135">
        <v>12.384</v>
      </c>
      <c r="AD33" s="137">
        <v>9.1150000000000002</v>
      </c>
      <c r="AE33" s="5">
        <v>10.311999999999999</v>
      </c>
      <c r="AF33" s="135">
        <v>16.942</v>
      </c>
      <c r="AG33" t="str">
        <f t="shared" si="3"/>
        <v/>
      </c>
      <c r="AH33" t="str">
        <f t="shared" si="2"/>
        <v/>
      </c>
    </row>
    <row r="34" spans="3:34" x14ac:dyDescent="0.2">
      <c r="C34" s="17" t="s">
        <v>102</v>
      </c>
      <c r="D34" s="55"/>
      <c r="E34" s="58"/>
      <c r="F34" s="165">
        <f>'3.2'!E56</f>
        <v>4.2861000000000002E-5</v>
      </c>
      <c r="G34" s="166">
        <f>'3.2'!F56</f>
        <v>1.8773117999999999E-4</v>
      </c>
      <c r="H34" s="176"/>
      <c r="I34" s="177"/>
      <c r="J34" s="176"/>
      <c r="K34" s="177"/>
      <c r="L34" s="176"/>
      <c r="M34" s="162"/>
      <c r="N34" s="173"/>
      <c r="O34" s="175"/>
      <c r="P34" s="176"/>
      <c r="Q34" s="177"/>
      <c r="R34" s="176"/>
      <c r="S34" s="177"/>
      <c r="T34" s="7"/>
      <c r="U34" s="7"/>
      <c r="V34" s="176"/>
      <c r="W34" s="177"/>
      <c r="X34" s="165">
        <f t="shared" si="0"/>
        <v>4.2861000000000002E-5</v>
      </c>
      <c r="Y34" s="166">
        <f t="shared" si="1"/>
        <v>1.8773117999999999E-4</v>
      </c>
      <c r="Z34" s="144">
        <v>2.4900000000000002</v>
      </c>
      <c r="AA34" s="5">
        <v>3.2229999999999999</v>
      </c>
      <c r="AB34" s="5">
        <v>6.0060000000000002</v>
      </c>
      <c r="AC34" s="135">
        <v>13.134</v>
      </c>
      <c r="AD34" s="137">
        <v>9.6679999999999993</v>
      </c>
      <c r="AE34" s="5">
        <v>10.936999999999999</v>
      </c>
      <c r="AF34" s="135">
        <v>17.968</v>
      </c>
      <c r="AG34" t="str">
        <f t="shared" si="3"/>
        <v/>
      </c>
      <c r="AH34" t="str">
        <f t="shared" si="2"/>
        <v/>
      </c>
    </row>
    <row r="35" spans="3:34" x14ac:dyDescent="0.2">
      <c r="C35" s="17" t="s">
        <v>36</v>
      </c>
      <c r="D35" s="165">
        <f>'1.4'!F67</f>
        <v>1.3725490196078432E-5</v>
      </c>
      <c r="E35" s="166">
        <f>'1.4'!G67</f>
        <v>6.0117647058823535E-5</v>
      </c>
      <c r="F35" s="173"/>
      <c r="G35" s="175"/>
      <c r="H35" s="173"/>
      <c r="I35" s="175"/>
      <c r="J35" s="173"/>
      <c r="K35" s="175"/>
      <c r="L35" s="173"/>
      <c r="M35" s="161"/>
      <c r="N35" s="173"/>
      <c r="O35" s="175"/>
      <c r="P35" s="176"/>
      <c r="Q35" s="177"/>
      <c r="R35" s="173"/>
      <c r="S35" s="175"/>
      <c r="T35" s="210"/>
      <c r="U35" s="210"/>
      <c r="V35" s="173"/>
      <c r="W35" s="175"/>
      <c r="X35" s="165">
        <f t="shared" si="0"/>
        <v>1.3725490196078432E-5</v>
      </c>
      <c r="Y35" s="166">
        <f t="shared" si="1"/>
        <v>6.0117647058823535E-5</v>
      </c>
      <c r="Z35" s="144">
        <v>1.7000000000000001E-4</v>
      </c>
      <c r="AA35" s="5">
        <v>2.2000000000000001E-4</v>
      </c>
      <c r="AB35" s="5">
        <v>4.0999999999999999E-4</v>
      </c>
      <c r="AC35" s="135">
        <v>8.9999999999999998E-4</v>
      </c>
      <c r="AD35" s="137">
        <v>6.6E-4</v>
      </c>
      <c r="AE35" s="5">
        <v>8.0999999999999996E-4</v>
      </c>
      <c r="AF35" s="135">
        <v>1.23E-3</v>
      </c>
      <c r="AG35" t="str">
        <f t="shared" si="3"/>
        <v/>
      </c>
      <c r="AH35" t="str">
        <f t="shared" si="2"/>
        <v/>
      </c>
    </row>
    <row r="36" spans="3:34" x14ac:dyDescent="0.2">
      <c r="C36" s="17" t="s">
        <v>66</v>
      </c>
      <c r="D36" s="165">
        <f>'1.4'!F52</f>
        <v>1.7647058823529412E-8</v>
      </c>
      <c r="E36" s="166">
        <f>'1.4'!G52</f>
        <v>7.7294117647058823E-8</v>
      </c>
      <c r="F36" s="165">
        <f>'3.2'!E57</f>
        <v>6.1152000000000001E-7</v>
      </c>
      <c r="G36" s="166">
        <f>'3.2'!F57</f>
        <v>2.6784576000000002E-6</v>
      </c>
      <c r="H36" s="173"/>
      <c r="I36" s="175"/>
      <c r="J36" s="173"/>
      <c r="K36" s="175"/>
      <c r="L36" s="173"/>
      <c r="M36" s="161"/>
      <c r="N36" s="173"/>
      <c r="O36" s="175"/>
      <c r="P36" s="176"/>
      <c r="Q36" s="177"/>
      <c r="R36" s="173"/>
      <c r="S36" s="175"/>
      <c r="T36" s="210"/>
      <c r="U36" s="210"/>
      <c r="V36" s="173"/>
      <c r="W36" s="175"/>
      <c r="X36" s="165">
        <f t="shared" si="0"/>
        <v>6.2916705882352946E-7</v>
      </c>
      <c r="Y36" s="166">
        <f t="shared" si="1"/>
        <v>2.7557517176470591E-6</v>
      </c>
      <c r="Z36" s="144"/>
      <c r="AA36" s="5"/>
      <c r="AB36" s="5"/>
      <c r="AC36" s="135"/>
      <c r="AD36" s="137"/>
      <c r="AE36" s="5"/>
      <c r="AF36" s="135"/>
      <c r="AG36" t="str">
        <f t="shared" si="3"/>
        <v/>
      </c>
      <c r="AH36" t="str">
        <f t="shared" si="2"/>
        <v/>
      </c>
    </row>
    <row r="37" spans="3:34" x14ac:dyDescent="0.2">
      <c r="C37" s="17" t="s">
        <v>67</v>
      </c>
      <c r="D37" s="165">
        <f>'1.4'!F68</f>
        <v>8.2352941176470589E-7</v>
      </c>
      <c r="E37" s="166">
        <f>'1.4'!G68</f>
        <v>3.6070588235294121E-6</v>
      </c>
      <c r="F37" s="173"/>
      <c r="G37" s="175"/>
      <c r="H37" s="173"/>
      <c r="I37" s="175"/>
      <c r="J37" s="173"/>
      <c r="K37" s="175"/>
      <c r="L37" s="173"/>
      <c r="M37" s="161"/>
      <c r="N37" s="173"/>
      <c r="O37" s="175"/>
      <c r="P37" s="176"/>
      <c r="Q37" s="177"/>
      <c r="R37" s="173"/>
      <c r="S37" s="175"/>
      <c r="T37" s="210"/>
      <c r="U37" s="210"/>
      <c r="V37" s="173"/>
      <c r="W37" s="175"/>
      <c r="X37" s="165">
        <f t="shared" si="0"/>
        <v>8.2352941176470589E-7</v>
      </c>
      <c r="Y37" s="166">
        <f t="shared" si="1"/>
        <v>3.6070588235294121E-6</v>
      </c>
      <c r="Z37" s="144">
        <v>1E-3</v>
      </c>
      <c r="AA37" s="5">
        <v>1.2999999999999999E-3</v>
      </c>
      <c r="AB37" s="5">
        <v>2.5000000000000001E-3</v>
      </c>
      <c r="AC37" s="135">
        <v>5.4000000000000003E-3</v>
      </c>
      <c r="AD37" s="137">
        <v>4.0000000000000001E-3</v>
      </c>
      <c r="AE37" s="5">
        <v>4.4999999999999997E-3</v>
      </c>
      <c r="AF37" s="135">
        <v>7.4000000000000003E-3</v>
      </c>
      <c r="AG37" t="str">
        <f t="shared" si="3"/>
        <v/>
      </c>
      <c r="AH37" t="str">
        <f t="shared" si="2"/>
        <v/>
      </c>
    </row>
    <row r="38" spans="3:34" x14ac:dyDescent="0.2">
      <c r="C38" s="17" t="s">
        <v>65</v>
      </c>
      <c r="D38" s="165">
        <f>'1.4'!F53</f>
        <v>1.1764705882352941E-8</v>
      </c>
      <c r="E38" s="166">
        <f>'1.4'!G53</f>
        <v>5.1529411764705884E-8</v>
      </c>
      <c r="F38" s="173"/>
      <c r="G38" s="175"/>
      <c r="H38" s="173"/>
      <c r="I38" s="175"/>
      <c r="J38" s="173"/>
      <c r="K38" s="175"/>
      <c r="L38" s="173"/>
      <c r="M38" s="161"/>
      <c r="N38" s="173"/>
      <c r="O38" s="175"/>
      <c r="P38" s="176"/>
      <c r="Q38" s="177"/>
      <c r="R38" s="173"/>
      <c r="S38" s="175"/>
      <c r="T38" s="210"/>
      <c r="U38" s="210"/>
      <c r="V38" s="173"/>
      <c r="W38" s="175"/>
      <c r="X38" s="165">
        <f t="shared" si="0"/>
        <v>1.1764705882352941E-8</v>
      </c>
      <c r="Y38" s="166">
        <f t="shared" si="1"/>
        <v>5.1529411764705884E-8</v>
      </c>
      <c r="Z38" s="144"/>
      <c r="AA38" s="5"/>
      <c r="AB38" s="5"/>
      <c r="AC38" s="135"/>
      <c r="AD38" s="137"/>
      <c r="AE38" s="5"/>
      <c r="AF38" s="135"/>
      <c r="AG38" t="str">
        <f t="shared" si="3"/>
        <v/>
      </c>
      <c r="AH38" t="str">
        <f t="shared" si="2"/>
        <v/>
      </c>
    </row>
    <row r="39" spans="3:34" x14ac:dyDescent="0.2">
      <c r="C39" s="17" t="s">
        <v>64</v>
      </c>
      <c r="D39" s="165">
        <f>'1.4'!F54</f>
        <v>1.176470588235294E-5</v>
      </c>
      <c r="E39" s="166">
        <f>'1.4'!G54</f>
        <v>5.1529411764705876E-5</v>
      </c>
      <c r="F39" s="173"/>
      <c r="G39" s="175"/>
      <c r="H39" s="173"/>
      <c r="I39" s="175"/>
      <c r="J39" s="173"/>
      <c r="K39" s="175"/>
      <c r="L39" s="173"/>
      <c r="M39" s="161"/>
      <c r="N39" s="173"/>
      <c r="O39" s="175"/>
      <c r="P39" s="176"/>
      <c r="Q39" s="177"/>
      <c r="R39" s="173"/>
      <c r="S39" s="175"/>
      <c r="T39" s="210"/>
      <c r="U39" s="210"/>
      <c r="V39" s="173"/>
      <c r="W39" s="175"/>
      <c r="X39" s="165">
        <f t="shared" si="0"/>
        <v>1.176470588235294E-5</v>
      </c>
      <c r="Y39" s="166">
        <f t="shared" si="1"/>
        <v>5.1529411764705876E-5</v>
      </c>
      <c r="Z39" s="144"/>
      <c r="AA39" s="5"/>
      <c r="AB39" s="5"/>
      <c r="AC39" s="135"/>
      <c r="AD39" s="137"/>
      <c r="AE39" s="5"/>
      <c r="AF39" s="135"/>
      <c r="AG39" t="str">
        <f t="shared" si="3"/>
        <v/>
      </c>
      <c r="AH39" t="str">
        <f t="shared" si="2"/>
        <v/>
      </c>
    </row>
    <row r="40" spans="3:34" x14ac:dyDescent="0.2">
      <c r="C40" s="17" t="s">
        <v>103</v>
      </c>
      <c r="D40" s="55"/>
      <c r="E40" s="58"/>
      <c r="F40" s="165">
        <f>'3.2'!E58</f>
        <v>9.8280000000000001E-5</v>
      </c>
      <c r="G40" s="166">
        <f>'3.2'!F58</f>
        <v>4.3046640000000004E-4</v>
      </c>
      <c r="H40" s="167">
        <f>'5.2'!F32</f>
        <v>9.3733879750100308E-4</v>
      </c>
      <c r="I40" s="168">
        <f>'5.2'!G32</f>
        <v>4.1055439330543939E-3</v>
      </c>
      <c r="J40" s="167">
        <f>'7.1'!I22</f>
        <v>2.5143768747253608E-5</v>
      </c>
      <c r="K40" s="168">
        <f>'7.1'!J22</f>
        <v>1.1012970711297081E-4</v>
      </c>
      <c r="L40" s="167">
        <f>'V-B'!L50</f>
        <v>8.0380136859914162E-5</v>
      </c>
      <c r="M40" s="158">
        <f>'V-B'!M50</f>
        <v>3.5206499944642403E-4</v>
      </c>
      <c r="N40" s="173"/>
      <c r="O40" s="175"/>
      <c r="P40" s="176"/>
      <c r="Q40" s="177"/>
      <c r="R40" s="167">
        <f>Dehy!G22</f>
        <v>1.6881988838153238E-3</v>
      </c>
      <c r="S40" s="168">
        <f>Dehy!H22</f>
        <v>7.3943111111111183E-3</v>
      </c>
      <c r="T40" s="209">
        <f>Pneu!F29</f>
        <v>3.5822777554880489E-4</v>
      </c>
      <c r="U40" s="209">
        <f>Pneu!G29</f>
        <v>1.5690376569037654E-3</v>
      </c>
      <c r="V40" s="167">
        <f>Fug!H45</f>
        <v>1.9333361928375873E-5</v>
      </c>
      <c r="W40" s="168">
        <f>Fug!I45</f>
        <v>8.468012524628632E-5</v>
      </c>
      <c r="X40" s="165">
        <f t="shared" si="0"/>
        <v>3.2069027244006755E-3</v>
      </c>
      <c r="Y40" s="166">
        <f t="shared" si="1"/>
        <v>1.404623393287496E-2</v>
      </c>
      <c r="Z40" s="144">
        <v>4.4290000000000003</v>
      </c>
      <c r="AA40" s="5">
        <v>5.7309999999999999</v>
      </c>
      <c r="AB40" s="5">
        <v>10.680999999999999</v>
      </c>
      <c r="AC40" s="135">
        <v>23.36</v>
      </c>
      <c r="AD40" s="137">
        <v>17.193999999999999</v>
      </c>
      <c r="AE40" s="5">
        <v>19.452000000000002</v>
      </c>
      <c r="AF40" s="135">
        <v>31.957000000000001</v>
      </c>
      <c r="AG40" t="str">
        <f t="shared" si="3"/>
        <v/>
      </c>
      <c r="AH40" t="str">
        <f t="shared" si="2"/>
        <v/>
      </c>
    </row>
    <row r="41" spans="3:34" x14ac:dyDescent="0.2">
      <c r="C41" s="17" t="s">
        <v>104</v>
      </c>
      <c r="D41" s="55"/>
      <c r="E41" s="58"/>
      <c r="F41" s="165">
        <f>'3.2'!E59</f>
        <v>6.6793999999999998E-5</v>
      </c>
      <c r="G41" s="166">
        <f>'3.2'!F59</f>
        <v>2.9255771999999998E-4</v>
      </c>
      <c r="H41" s="55"/>
      <c r="I41" s="58"/>
      <c r="J41" s="55"/>
      <c r="K41" s="58"/>
      <c r="L41" s="55"/>
      <c r="M41" s="146"/>
      <c r="N41" s="173"/>
      <c r="O41" s="175"/>
      <c r="P41" s="176"/>
      <c r="Q41" s="177"/>
      <c r="R41" s="55"/>
      <c r="S41" s="58"/>
      <c r="T41" s="2"/>
      <c r="U41" s="2"/>
      <c r="V41" s="55"/>
      <c r="W41" s="58"/>
      <c r="X41" s="165">
        <f t="shared" si="0"/>
        <v>6.6793999999999998E-5</v>
      </c>
      <c r="Y41" s="166">
        <f t="shared" si="1"/>
        <v>2.9255771999999998E-4</v>
      </c>
      <c r="Z41" s="144"/>
      <c r="AA41" s="5"/>
      <c r="AB41" s="5"/>
      <c r="AC41" s="135"/>
      <c r="AD41" s="137"/>
      <c r="AE41" s="5"/>
      <c r="AF41" s="135"/>
      <c r="AG41" t="str">
        <f t="shared" si="3"/>
        <v/>
      </c>
      <c r="AH41" t="str">
        <f t="shared" si="2"/>
        <v/>
      </c>
    </row>
    <row r="42" spans="3:34" x14ac:dyDescent="0.2">
      <c r="C42" s="17" t="s">
        <v>209</v>
      </c>
      <c r="D42" s="55"/>
      <c r="E42" s="58"/>
      <c r="F42" s="173"/>
      <c r="G42" s="175"/>
      <c r="H42" s="176"/>
      <c r="I42" s="177"/>
      <c r="J42" s="176"/>
      <c r="K42" s="177"/>
      <c r="L42" s="176"/>
      <c r="M42" s="162"/>
      <c r="N42" s="167">
        <f>'7.1a'!D21</f>
        <v>2.2831050228310503E-6</v>
      </c>
      <c r="O42" s="168">
        <f>'7.1a'!E21</f>
        <v>1.0000000000000001E-5</v>
      </c>
      <c r="P42" s="176"/>
      <c r="Q42" s="177"/>
      <c r="R42" s="176"/>
      <c r="S42" s="177"/>
      <c r="T42" s="7"/>
      <c r="U42" s="7"/>
      <c r="V42" s="176"/>
      <c r="W42" s="177"/>
      <c r="X42" s="167">
        <f t="shared" si="0"/>
        <v>2.2831050228310503E-6</v>
      </c>
      <c r="Y42" s="168">
        <f t="shared" si="1"/>
        <v>1.0000000000000001E-5</v>
      </c>
      <c r="Z42" s="144">
        <v>3.8</v>
      </c>
      <c r="AA42" s="5">
        <v>5.0999999999999996</v>
      </c>
      <c r="AB42" s="5">
        <v>9.1999999999999993</v>
      </c>
      <c r="AC42" s="135">
        <v>18</v>
      </c>
      <c r="AD42" s="137">
        <v>15.4</v>
      </c>
      <c r="AE42" s="5">
        <v>22.4</v>
      </c>
      <c r="AF42" s="135">
        <v>31</v>
      </c>
      <c r="AG42" t="str">
        <f t="shared" si="3"/>
        <v/>
      </c>
      <c r="AH42" t="str">
        <f t="shared" si="2"/>
        <v/>
      </c>
    </row>
    <row r="43" spans="3:34" x14ac:dyDescent="0.2">
      <c r="C43" s="17" t="s">
        <v>63</v>
      </c>
      <c r="D43" s="165">
        <f>'1.4'!F55</f>
        <v>2.9411764705882351E-8</v>
      </c>
      <c r="E43" s="166">
        <f>'1.4'!G55</f>
        <v>1.2882352941176469E-7</v>
      </c>
      <c r="F43" s="165">
        <f>'3.2'!E60</f>
        <v>3.2851000000000002E-7</v>
      </c>
      <c r="G43" s="166">
        <f>'3.2'!F60</f>
        <v>1.4388738000000001E-6</v>
      </c>
      <c r="H43" s="173"/>
      <c r="I43" s="175"/>
      <c r="J43" s="173"/>
      <c r="K43" s="175"/>
      <c r="L43" s="173"/>
      <c r="M43" s="161"/>
      <c r="N43" s="173"/>
      <c r="O43" s="175"/>
      <c r="P43" s="176"/>
      <c r="Q43" s="177"/>
      <c r="R43" s="173"/>
      <c r="S43" s="175"/>
      <c r="T43" s="210"/>
      <c r="U43" s="210"/>
      <c r="V43" s="173"/>
      <c r="W43" s="175"/>
      <c r="X43" s="165">
        <f t="shared" si="0"/>
        <v>3.5792176470588238E-7</v>
      </c>
      <c r="Y43" s="166">
        <f t="shared" si="1"/>
        <v>1.5676973294117649E-6</v>
      </c>
      <c r="Z43" s="144"/>
      <c r="AA43" s="5"/>
      <c r="AB43" s="5"/>
      <c r="AC43" s="135"/>
      <c r="AD43" s="137"/>
      <c r="AE43" s="5"/>
      <c r="AF43" s="135"/>
      <c r="AG43" t="str">
        <f t="shared" si="3"/>
        <v/>
      </c>
      <c r="AH43" t="str">
        <f t="shared" si="2"/>
        <v/>
      </c>
    </row>
    <row r="44" spans="3:34" x14ac:dyDescent="0.2">
      <c r="C44" s="17" t="s">
        <v>62</v>
      </c>
      <c r="D44" s="165">
        <f>'1.4'!F56</f>
        <v>2.7450980392156864E-8</v>
      </c>
      <c r="E44" s="166">
        <f>'1.4'!G56</f>
        <v>1.2023529411764708E-7</v>
      </c>
      <c r="F44" s="165">
        <f>'3.2'!E61</f>
        <v>1.5378999999999999E-6</v>
      </c>
      <c r="G44" s="166">
        <f>'3.2'!F61</f>
        <v>6.736002E-6</v>
      </c>
      <c r="H44" s="173"/>
      <c r="I44" s="175"/>
      <c r="J44" s="173"/>
      <c r="K44" s="175"/>
      <c r="L44" s="173"/>
      <c r="M44" s="161"/>
      <c r="N44" s="173"/>
      <c r="O44" s="175"/>
      <c r="P44" s="176"/>
      <c r="Q44" s="177"/>
      <c r="R44" s="173"/>
      <c r="S44" s="175"/>
      <c r="T44" s="210"/>
      <c r="U44" s="210"/>
      <c r="V44" s="173"/>
      <c r="W44" s="175"/>
      <c r="X44" s="165">
        <f t="shared" si="0"/>
        <v>1.5653509803921567E-6</v>
      </c>
      <c r="Y44" s="166">
        <f t="shared" si="1"/>
        <v>6.8562372941176474E-6</v>
      </c>
      <c r="Z44" s="144"/>
      <c r="AA44" s="5"/>
      <c r="AB44" s="5"/>
      <c r="AC44" s="135"/>
      <c r="AD44" s="137"/>
      <c r="AE44" s="5"/>
      <c r="AF44" s="135"/>
      <c r="AG44" t="str">
        <f t="shared" si="3"/>
        <v/>
      </c>
      <c r="AH44" t="str">
        <f t="shared" si="2"/>
        <v/>
      </c>
    </row>
    <row r="45" spans="3:34" s="8" customFormat="1" x14ac:dyDescent="0.2">
      <c r="C45" s="179" t="s">
        <v>61</v>
      </c>
      <c r="D45" s="180">
        <f>'1.4'!F57</f>
        <v>7.3529411764705881E-4</v>
      </c>
      <c r="E45" s="181">
        <f>'1.4'!G57</f>
        <v>3.2205882352941179E-3</v>
      </c>
      <c r="F45" s="180">
        <f>'3.2'!E62</f>
        <v>5.0231999999999999E-2</v>
      </c>
      <c r="G45" s="181">
        <f>'3.2'!F62</f>
        <v>0.22001615999999999</v>
      </c>
      <c r="H45" s="182"/>
      <c r="I45" s="183"/>
      <c r="J45" s="182"/>
      <c r="K45" s="183"/>
      <c r="L45" s="182"/>
      <c r="M45" s="184"/>
      <c r="N45" s="182"/>
      <c r="O45" s="183"/>
      <c r="P45" s="185"/>
      <c r="Q45" s="186"/>
      <c r="R45" s="182"/>
      <c r="S45" s="183"/>
      <c r="T45" s="211"/>
      <c r="U45" s="211"/>
      <c r="V45" s="182"/>
      <c r="W45" s="183"/>
      <c r="X45" s="180">
        <f t="shared" si="0"/>
        <v>5.0967294117647055E-2</v>
      </c>
      <c r="Y45" s="181">
        <f t="shared" si="1"/>
        <v>0.2232367482352941</v>
      </c>
      <c r="Z45" s="187">
        <v>1.4E-2</v>
      </c>
      <c r="AA45" s="188">
        <v>1.8800000000000001E-2</v>
      </c>
      <c r="AB45" s="188">
        <v>3.39E-2</v>
      </c>
      <c r="AC45" s="189">
        <v>6.6299999999999998E-2</v>
      </c>
      <c r="AD45" s="190">
        <v>5.67E-2</v>
      </c>
      <c r="AE45" s="188">
        <v>8.2500000000000004E-2</v>
      </c>
      <c r="AF45" s="189">
        <v>0.1142</v>
      </c>
      <c r="AG45" s="8" t="str">
        <f t="shared" si="3"/>
        <v xml:space="preserve">50-100 m </v>
      </c>
      <c r="AH45" s="8" t="str">
        <f t="shared" si="2"/>
        <v/>
      </c>
    </row>
    <row r="46" spans="3:34" x14ac:dyDescent="0.2">
      <c r="C46" s="17" t="s">
        <v>105</v>
      </c>
      <c r="D46" s="165">
        <f>'1.4'!F59</f>
        <v>1.7647058823529412E-8</v>
      </c>
      <c r="E46" s="166">
        <f>'1.4'!G59</f>
        <v>7.7294117647058823E-8</v>
      </c>
      <c r="F46" s="165">
        <f>'3.2'!E63</f>
        <v>9.0363000000000003E-9</v>
      </c>
      <c r="G46" s="166">
        <f>'3.2'!F63</f>
        <v>3.9578993999999998E-8</v>
      </c>
      <c r="H46" s="173"/>
      <c r="I46" s="175"/>
      <c r="J46" s="173"/>
      <c r="K46" s="175"/>
      <c r="L46" s="173"/>
      <c r="M46" s="161"/>
      <c r="N46" s="173"/>
      <c r="O46" s="175"/>
      <c r="P46" s="176"/>
      <c r="Q46" s="177"/>
      <c r="R46" s="173"/>
      <c r="S46" s="175"/>
      <c r="T46" s="210"/>
      <c r="U46" s="210"/>
      <c r="V46" s="173"/>
      <c r="W46" s="175"/>
      <c r="X46" s="165">
        <f t="shared" si="0"/>
        <v>2.6683358823529414E-8</v>
      </c>
      <c r="Y46" s="166">
        <f t="shared" si="1"/>
        <v>1.1687311164705881E-7</v>
      </c>
      <c r="Z46" s="144"/>
      <c r="AA46" s="5"/>
      <c r="AB46" s="5"/>
      <c r="AC46" s="135"/>
      <c r="AD46" s="137"/>
      <c r="AE46" s="5"/>
      <c r="AF46" s="135"/>
      <c r="AG46" t="str">
        <f t="shared" si="3"/>
        <v/>
      </c>
      <c r="AH46" t="str">
        <f t="shared" si="2"/>
        <v/>
      </c>
    </row>
    <row r="47" spans="3:34" x14ac:dyDescent="0.2">
      <c r="C47" s="17" t="s">
        <v>11</v>
      </c>
      <c r="D47" s="165">
        <f>'1.4'!F69</f>
        <v>4.9019607843137256E-6</v>
      </c>
      <c r="E47" s="166">
        <f>'1.4'!G69</f>
        <v>2.1470588235294119E-5</v>
      </c>
      <c r="F47" s="173"/>
      <c r="G47" s="175"/>
      <c r="H47" s="173"/>
      <c r="I47" s="175"/>
      <c r="J47" s="173"/>
      <c r="K47" s="175"/>
      <c r="L47" s="173"/>
      <c r="M47" s="161"/>
      <c r="N47" s="173"/>
      <c r="O47" s="175"/>
      <c r="P47" s="176"/>
      <c r="Q47" s="177"/>
      <c r="R47" s="173"/>
      <c r="S47" s="175"/>
      <c r="T47" s="210"/>
      <c r="U47" s="210"/>
      <c r="V47" s="173"/>
      <c r="W47" s="175"/>
      <c r="X47" s="165">
        <f t="shared" si="0"/>
        <v>4.9019607843137256E-6</v>
      </c>
      <c r="Y47" s="166">
        <f t="shared" si="1"/>
        <v>2.1470588235294119E-5</v>
      </c>
      <c r="Z47" s="144"/>
      <c r="AA47" s="5"/>
      <c r="AB47" s="5"/>
      <c r="AC47" s="135"/>
      <c r="AD47" s="137"/>
      <c r="AE47" s="5"/>
      <c r="AF47" s="135"/>
      <c r="AG47" t="str">
        <f t="shared" si="3"/>
        <v/>
      </c>
      <c r="AH47" t="str">
        <f t="shared" si="2"/>
        <v/>
      </c>
    </row>
    <row r="48" spans="3:34" x14ac:dyDescent="0.2">
      <c r="C48" s="17" t="s">
        <v>37</v>
      </c>
      <c r="D48" s="165">
        <f>'1.4'!F70</f>
        <v>3.7254901960784316E-6</v>
      </c>
      <c r="E48" s="166">
        <f>'1.4'!G70</f>
        <v>1.6317647058823531E-5</v>
      </c>
      <c r="F48" s="173"/>
      <c r="G48" s="175"/>
      <c r="H48" s="173"/>
      <c r="I48" s="175"/>
      <c r="J48" s="173"/>
      <c r="K48" s="175"/>
      <c r="L48" s="173"/>
      <c r="M48" s="161"/>
      <c r="N48" s="173"/>
      <c r="O48" s="175"/>
      <c r="P48" s="176"/>
      <c r="Q48" s="177"/>
      <c r="R48" s="173"/>
      <c r="S48" s="175"/>
      <c r="T48" s="210"/>
      <c r="U48" s="210"/>
      <c r="V48" s="173"/>
      <c r="W48" s="175"/>
      <c r="X48" s="165">
        <f t="shared" si="0"/>
        <v>3.7254901960784316E-6</v>
      </c>
      <c r="Y48" s="166">
        <f t="shared" si="1"/>
        <v>1.6317647058823531E-5</v>
      </c>
      <c r="Z48" s="144">
        <v>0.01</v>
      </c>
      <c r="AA48" s="5">
        <v>1.2999999999999999E-2</v>
      </c>
      <c r="AB48" s="5">
        <v>2.5000000000000001E-2</v>
      </c>
      <c r="AC48" s="135">
        <v>5.3999999999999999E-2</v>
      </c>
      <c r="AD48" s="137">
        <v>0.04</v>
      </c>
      <c r="AE48" s="5">
        <v>4.4999999999999998E-2</v>
      </c>
      <c r="AF48" s="135">
        <v>7.3999999999999996E-2</v>
      </c>
      <c r="AG48" t="str">
        <f t="shared" si="3"/>
        <v/>
      </c>
      <c r="AH48" t="str">
        <f t="shared" si="2"/>
        <v/>
      </c>
    </row>
    <row r="49" spans="3:34" x14ac:dyDescent="0.2">
      <c r="C49" s="17" t="s">
        <v>68</v>
      </c>
      <c r="D49" s="165">
        <f>'1.4'!F71</f>
        <v>2.5490196078431372E-6</v>
      </c>
      <c r="E49" s="166">
        <f>'1.4'!G71</f>
        <v>1.1164705882352941E-5</v>
      </c>
      <c r="F49" s="173"/>
      <c r="G49" s="175"/>
      <c r="H49" s="173"/>
      <c r="I49" s="175"/>
      <c r="J49" s="173"/>
      <c r="K49" s="175"/>
      <c r="L49" s="173"/>
      <c r="M49" s="161"/>
      <c r="N49" s="173"/>
      <c r="O49" s="175"/>
      <c r="P49" s="176"/>
      <c r="Q49" s="177"/>
      <c r="R49" s="173"/>
      <c r="S49" s="175"/>
      <c r="T49" s="210"/>
      <c r="U49" s="210"/>
      <c r="V49" s="173"/>
      <c r="W49" s="175"/>
      <c r="X49" s="165">
        <f t="shared" si="0"/>
        <v>2.5490196078431372E-6</v>
      </c>
      <c r="Y49" s="166">
        <f t="shared" si="1"/>
        <v>1.1164705882352941E-5</v>
      </c>
      <c r="Z49" s="144">
        <v>5.1000000000000004E-4</v>
      </c>
      <c r="AA49" s="5">
        <v>6.6E-4</v>
      </c>
      <c r="AB49" s="5">
        <v>1.23E-3</v>
      </c>
      <c r="AC49" s="135">
        <v>2.6900000000000001E-3</v>
      </c>
      <c r="AD49" s="137">
        <v>1.98E-3</v>
      </c>
      <c r="AE49" s="5">
        <v>2.2399999999999998E-3</v>
      </c>
      <c r="AF49" s="135">
        <v>3.6800000000000001E-3</v>
      </c>
      <c r="AG49" t="str">
        <f t="shared" si="3"/>
        <v/>
      </c>
      <c r="AH49" t="str">
        <f t="shared" si="2"/>
        <v/>
      </c>
    </row>
    <row r="50" spans="3:34" x14ac:dyDescent="0.2">
      <c r="C50" s="17" t="s">
        <v>106</v>
      </c>
      <c r="D50" s="55"/>
      <c r="E50" s="58"/>
      <c r="F50" s="167">
        <f>'3.2'!E64</f>
        <v>2.2568000000000002E-3</v>
      </c>
      <c r="G50" s="168">
        <f>'3.2'!F64</f>
        <v>9.8847840000000024E-3</v>
      </c>
      <c r="H50" s="176"/>
      <c r="I50" s="177"/>
      <c r="J50" s="176"/>
      <c r="K50" s="177"/>
      <c r="L50" s="176"/>
      <c r="M50" s="162"/>
      <c r="N50" s="167">
        <f>'7.1a'!D22</f>
        <v>2.3333333333333335E-3</v>
      </c>
      <c r="O50" s="168">
        <f>'7.1a'!E22</f>
        <v>1.022E-2</v>
      </c>
      <c r="P50" s="176"/>
      <c r="Q50" s="177"/>
      <c r="R50" s="176"/>
      <c r="S50" s="177"/>
      <c r="T50" s="7"/>
      <c r="U50" s="7"/>
      <c r="V50" s="176"/>
      <c r="W50" s="177"/>
      <c r="X50" s="167">
        <f t="shared" si="0"/>
        <v>4.5901333333333337E-3</v>
      </c>
      <c r="Y50" s="168">
        <f t="shared" si="1"/>
        <v>2.0104784000000001E-2</v>
      </c>
      <c r="Z50" s="144">
        <v>14.201000000000001</v>
      </c>
      <c r="AA50" s="5">
        <v>18.376999999999999</v>
      </c>
      <c r="AB50" s="5">
        <v>34.249000000000002</v>
      </c>
      <c r="AC50" s="135">
        <v>74.902000000000001</v>
      </c>
      <c r="AD50" s="137">
        <v>55.131999999999998</v>
      </c>
      <c r="AE50" s="5">
        <v>62.372</v>
      </c>
      <c r="AF50" s="135">
        <v>102.468</v>
      </c>
      <c r="AG50" t="str">
        <f t="shared" si="3"/>
        <v/>
      </c>
      <c r="AH50" t="str">
        <f t="shared" si="2"/>
        <v/>
      </c>
    </row>
    <row r="51" spans="3:34" x14ac:dyDescent="0.2">
      <c r="C51" s="17" t="s">
        <v>107</v>
      </c>
      <c r="D51" s="55"/>
      <c r="E51" s="58"/>
      <c r="F51" s="165">
        <f>'3.2'!E65</f>
        <v>1.3376999999999999E-4</v>
      </c>
      <c r="G51" s="166">
        <f>'3.2'!F65</f>
        <v>5.8591259999999994E-4</v>
      </c>
      <c r="H51" s="176"/>
      <c r="I51" s="177"/>
      <c r="J51" s="176"/>
      <c r="K51" s="177"/>
      <c r="L51" s="176"/>
      <c r="M51" s="162"/>
      <c r="N51" s="173"/>
      <c r="O51" s="175"/>
      <c r="P51" s="176"/>
      <c r="Q51" s="177"/>
      <c r="R51" s="176"/>
      <c r="S51" s="177"/>
      <c r="T51" s="7"/>
      <c r="U51" s="7"/>
      <c r="V51" s="176"/>
      <c r="W51" s="177"/>
      <c r="X51" s="165">
        <f t="shared" si="0"/>
        <v>1.3376999999999999E-4</v>
      </c>
      <c r="Y51" s="166">
        <f t="shared" si="1"/>
        <v>5.8591259999999994E-4</v>
      </c>
      <c r="Z51" s="144">
        <v>8.8580000000000005</v>
      </c>
      <c r="AA51" s="5">
        <v>11.462999999999999</v>
      </c>
      <c r="AB51" s="5">
        <v>21.363</v>
      </c>
      <c r="AC51" s="135">
        <v>46.72</v>
      </c>
      <c r="AD51" s="137">
        <v>34.389000000000003</v>
      </c>
      <c r="AE51" s="5">
        <v>38.905000000000001</v>
      </c>
      <c r="AF51" s="135">
        <v>63.914999999999999</v>
      </c>
      <c r="AG51" t="str">
        <f t="shared" si="3"/>
        <v/>
      </c>
      <c r="AH51" t="str">
        <f t="shared" si="2"/>
        <v/>
      </c>
    </row>
    <row r="52" spans="3:34" x14ac:dyDescent="0.2">
      <c r="C52" s="17" t="s">
        <v>58</v>
      </c>
      <c r="D52" s="165">
        <f>'1.4'!F60</f>
        <v>5.980392156862744E-6</v>
      </c>
      <c r="E52" s="166">
        <f>'1.4'!G60</f>
        <v>2.6194117647058819E-5</v>
      </c>
      <c r="F52" s="165">
        <f>'3.2'!E67</f>
        <v>8.7633000000000006E-5</v>
      </c>
      <c r="G52" s="166">
        <f>'3.2'!F67</f>
        <v>3.8383253999999998E-4</v>
      </c>
      <c r="H52" s="173"/>
      <c r="I52" s="175"/>
      <c r="J52" s="173"/>
      <c r="K52" s="175"/>
      <c r="L52" s="173"/>
      <c r="M52" s="161"/>
      <c r="N52" s="173"/>
      <c r="O52" s="175"/>
      <c r="P52" s="176"/>
      <c r="Q52" s="177"/>
      <c r="R52" s="173"/>
      <c r="S52" s="175"/>
      <c r="T52" s="210"/>
      <c r="U52" s="210"/>
      <c r="V52" s="173"/>
      <c r="W52" s="175"/>
      <c r="X52" s="165">
        <f t="shared" si="0"/>
        <v>9.3613392156862755E-5</v>
      </c>
      <c r="Y52" s="166">
        <f t="shared" si="1"/>
        <v>4.1002665764705879E-4</v>
      </c>
      <c r="Z52" s="144">
        <v>2.6739999999999999</v>
      </c>
      <c r="AA52" s="5">
        <v>3.46</v>
      </c>
      <c r="AB52" s="5">
        <v>6.4489999999999998</v>
      </c>
      <c r="AC52" s="135">
        <v>14.103999999999999</v>
      </c>
      <c r="AD52" s="137">
        <v>10.381</v>
      </c>
      <c r="AE52" s="5">
        <v>11.744</v>
      </c>
      <c r="AF52" s="135">
        <v>19.294</v>
      </c>
      <c r="AG52" t="str">
        <f t="shared" si="3"/>
        <v/>
      </c>
      <c r="AH52" t="str">
        <f t="shared" si="2"/>
        <v/>
      </c>
    </row>
    <row r="53" spans="3:34" x14ac:dyDescent="0.2">
      <c r="C53" s="17" t="s">
        <v>108</v>
      </c>
      <c r="D53" s="167">
        <f>'1.4'!F58</f>
        <v>1.7647058823529412E-2</v>
      </c>
      <c r="E53" s="168">
        <f>'1.4'!G58</f>
        <v>7.7294117647058833E-2</v>
      </c>
      <c r="F53" s="165">
        <f>'3.2'!E66</f>
        <v>4.0495E-4</v>
      </c>
      <c r="G53" s="166">
        <f>'3.2'!F66</f>
        <v>1.773681E-3</v>
      </c>
      <c r="H53" s="167">
        <f>'5.2'!F35</f>
        <v>0.18509540892264245</v>
      </c>
      <c r="I53" s="168">
        <f>'5.2'!G35</f>
        <v>0.81071789108117398</v>
      </c>
      <c r="J53" s="167">
        <f>'7.1'!I25</f>
        <v>4.9651163171065514E-3</v>
      </c>
      <c r="K53" s="168">
        <f>'7.1'!J25</f>
        <v>2.1747209468926696E-2</v>
      </c>
      <c r="L53" s="167">
        <f>'V-B'!L53</f>
        <v>1.5872589869329351E-2</v>
      </c>
      <c r="M53" s="158">
        <f>'V-B'!M53</f>
        <v>6.952194362766255E-2</v>
      </c>
      <c r="N53" s="173"/>
      <c r="O53" s="175"/>
      <c r="P53" s="176"/>
      <c r="Q53" s="177"/>
      <c r="R53" s="167">
        <f>Dehy!G25</f>
        <v>7.9357889396245631E-3</v>
      </c>
      <c r="S53" s="168">
        <f>Dehy!H25</f>
        <v>3.475875555555559E-2</v>
      </c>
      <c r="T53" s="209">
        <f>Pneu!F32</f>
        <v>7.0738901216327463E-2</v>
      </c>
      <c r="U53" s="209">
        <f>Pneu!G32</f>
        <v>0.30983638732751428</v>
      </c>
      <c r="V53" s="167">
        <f>Fug!H48</f>
        <v>3.8177407587552141E-3</v>
      </c>
      <c r="W53" s="168">
        <f>Fug!I48</f>
        <v>1.6721704523347838E-2</v>
      </c>
      <c r="X53" s="167">
        <f t="shared" si="0"/>
        <v>0.30647755484731504</v>
      </c>
      <c r="Y53" s="168">
        <f t="shared" si="1"/>
        <v>1.3423716902312397</v>
      </c>
      <c r="Z53" s="144">
        <v>8.9879999999999995</v>
      </c>
      <c r="AA53" s="5">
        <v>11.632</v>
      </c>
      <c r="AB53" s="5">
        <v>21.677</v>
      </c>
      <c r="AC53" s="135">
        <v>47.408000000000001</v>
      </c>
      <c r="AD53" s="137">
        <v>34.895000000000003</v>
      </c>
      <c r="AE53" s="5">
        <v>39.476999999999997</v>
      </c>
      <c r="AF53" s="135">
        <v>64.855000000000004</v>
      </c>
      <c r="AG53" t="str">
        <f t="shared" si="3"/>
        <v/>
      </c>
      <c r="AH53" t="str">
        <f t="shared" si="2"/>
        <v/>
      </c>
    </row>
    <row r="54" spans="3:34" x14ac:dyDescent="0.2">
      <c r="C54" s="17" t="s">
        <v>38</v>
      </c>
      <c r="D54" s="165">
        <f>'1.4'!F72</f>
        <v>2.0588235294117645E-5</v>
      </c>
      <c r="E54" s="166">
        <f>'1.4'!G72</f>
        <v>9.0176470588235289E-5</v>
      </c>
      <c r="F54" s="173"/>
      <c r="G54" s="175"/>
      <c r="H54" s="173"/>
      <c r="I54" s="175"/>
      <c r="J54" s="173"/>
      <c r="K54" s="175"/>
      <c r="L54" s="173"/>
      <c r="M54" s="161"/>
      <c r="N54" s="173"/>
      <c r="O54" s="175"/>
      <c r="P54" s="176"/>
      <c r="Q54" s="177"/>
      <c r="R54" s="173"/>
      <c r="S54" s="175"/>
      <c r="T54" s="210"/>
      <c r="U54" s="210"/>
      <c r="V54" s="173"/>
      <c r="W54" s="175"/>
      <c r="X54" s="165">
        <f t="shared" si="0"/>
        <v>2.0588235294117645E-5</v>
      </c>
      <c r="Y54" s="166">
        <f t="shared" si="1"/>
        <v>9.0176470588235289E-5</v>
      </c>
      <c r="Z54" s="144">
        <v>1.6999999999999999E-3</v>
      </c>
      <c r="AA54" s="5">
        <v>2.2000000000000001E-3</v>
      </c>
      <c r="AB54" s="5">
        <v>4.1000000000000003E-3</v>
      </c>
      <c r="AC54" s="135">
        <v>8.9999999999999993E-3</v>
      </c>
      <c r="AD54" s="137">
        <v>6.6E-3</v>
      </c>
      <c r="AE54" s="5">
        <v>8.0999999999999996E-3</v>
      </c>
      <c r="AF54" s="135">
        <v>1.23E-2</v>
      </c>
      <c r="AG54" t="str">
        <f t="shared" si="3"/>
        <v/>
      </c>
      <c r="AH54" t="str">
        <f t="shared" si="2"/>
        <v/>
      </c>
    </row>
    <row r="55" spans="3:34" x14ac:dyDescent="0.2">
      <c r="C55" s="17" t="s">
        <v>109</v>
      </c>
      <c r="D55" s="55"/>
      <c r="E55" s="58"/>
      <c r="F55" s="165">
        <f>'3.2'!E68</f>
        <v>1.2194000000000001E-4</v>
      </c>
      <c r="G55" s="166">
        <f>'3.2'!F68</f>
        <v>5.3409720000000005E-4</v>
      </c>
      <c r="H55" s="176"/>
      <c r="I55" s="177"/>
      <c r="J55" s="176"/>
      <c r="K55" s="177"/>
      <c r="L55" s="176"/>
      <c r="M55" s="162"/>
      <c r="N55" s="173"/>
      <c r="O55" s="175"/>
      <c r="P55" s="176"/>
      <c r="Q55" s="177"/>
      <c r="R55" s="176"/>
      <c r="S55" s="177"/>
      <c r="T55" s="7"/>
      <c r="U55" s="7"/>
      <c r="V55" s="176"/>
      <c r="W55" s="177"/>
      <c r="X55" s="165">
        <f t="shared" si="0"/>
        <v>1.2194000000000001E-4</v>
      </c>
      <c r="Y55" s="166">
        <f t="shared" si="1"/>
        <v>5.3409720000000005E-4</v>
      </c>
      <c r="Z55" s="144"/>
      <c r="AA55" s="5"/>
      <c r="AB55" s="5"/>
      <c r="AC55" s="135"/>
      <c r="AD55" s="137"/>
      <c r="AE55" s="5"/>
      <c r="AF55" s="135"/>
      <c r="AG55" t="str">
        <f t="shared" si="3"/>
        <v/>
      </c>
      <c r="AH55" t="str">
        <f t="shared" si="2"/>
        <v/>
      </c>
    </row>
    <row r="56" spans="3:34" x14ac:dyDescent="0.2">
      <c r="C56" s="17" t="s">
        <v>110</v>
      </c>
      <c r="D56" s="55"/>
      <c r="E56" s="58"/>
      <c r="F56" s="165">
        <f>'3.2'!E69</f>
        <v>4.5227000000000005E-9</v>
      </c>
      <c r="G56" s="166">
        <f>'3.2'!F69</f>
        <v>1.9809426000000002E-8</v>
      </c>
      <c r="H56" s="176"/>
      <c r="I56" s="177"/>
      <c r="J56" s="176"/>
      <c r="K56" s="177"/>
      <c r="L56" s="176"/>
      <c r="M56" s="162"/>
      <c r="N56" s="173"/>
      <c r="O56" s="175"/>
      <c r="P56" s="176"/>
      <c r="Q56" s="177"/>
      <c r="R56" s="176"/>
      <c r="S56" s="177"/>
      <c r="T56" s="7"/>
      <c r="U56" s="7"/>
      <c r="V56" s="176"/>
      <c r="W56" s="177"/>
      <c r="X56" s="165">
        <f t="shared" si="0"/>
        <v>4.5227000000000005E-9</v>
      </c>
      <c r="Y56" s="166">
        <f t="shared" si="1"/>
        <v>1.9809426000000002E-8</v>
      </c>
      <c r="Z56" s="144"/>
      <c r="AA56" s="5"/>
      <c r="AB56" s="5"/>
      <c r="AC56" s="135"/>
      <c r="AD56" s="137"/>
      <c r="AE56" s="5"/>
      <c r="AF56" s="135"/>
      <c r="AG56" t="str">
        <f t="shared" si="3"/>
        <v/>
      </c>
      <c r="AH56" t="str">
        <f t="shared" si="2"/>
        <v/>
      </c>
    </row>
    <row r="57" spans="3:34" x14ac:dyDescent="0.2">
      <c r="C57" s="17" t="s">
        <v>111</v>
      </c>
      <c r="D57" s="165">
        <f>'1.4'!F61</f>
        <v>1.6666666666666668E-7</v>
      </c>
      <c r="E57" s="166">
        <f>'1.4'!G61</f>
        <v>7.300000000000001E-7</v>
      </c>
      <c r="F57" s="165">
        <f>'3.2'!E70</f>
        <v>3.2123000000000001E-6</v>
      </c>
      <c r="G57" s="166">
        <f>'3.2'!F70</f>
        <v>1.4069874000000001E-5</v>
      </c>
      <c r="H57" s="173"/>
      <c r="I57" s="175"/>
      <c r="J57" s="173"/>
      <c r="K57" s="175"/>
      <c r="L57" s="173"/>
      <c r="M57" s="161"/>
      <c r="N57" s="173"/>
      <c r="O57" s="175"/>
      <c r="P57" s="176"/>
      <c r="Q57" s="177"/>
      <c r="R57" s="173"/>
      <c r="S57" s="175"/>
      <c r="T57" s="210"/>
      <c r="U57" s="210"/>
      <c r="V57" s="173"/>
      <c r="W57" s="175"/>
      <c r="X57" s="165">
        <f t="shared" si="0"/>
        <v>3.3789666666666668E-6</v>
      </c>
      <c r="Y57" s="166">
        <f t="shared" si="1"/>
        <v>1.4799874000000001E-5</v>
      </c>
      <c r="Z57" s="144"/>
      <c r="AA57" s="5"/>
      <c r="AB57" s="5"/>
      <c r="AC57" s="135"/>
      <c r="AD57" s="137"/>
      <c r="AE57" s="5"/>
      <c r="AF57" s="135"/>
      <c r="AG57" t="str">
        <f t="shared" si="3"/>
        <v/>
      </c>
      <c r="AH57" t="str">
        <f t="shared" si="2"/>
        <v/>
      </c>
    </row>
    <row r="58" spans="3:34" x14ac:dyDescent="0.2">
      <c r="C58" s="17" t="s">
        <v>112</v>
      </c>
      <c r="D58" s="55"/>
      <c r="E58" s="58"/>
      <c r="F58" s="165">
        <f>'3.2'!E71</f>
        <v>3.8311E-5</v>
      </c>
      <c r="G58" s="166">
        <f>'3.2'!F71</f>
        <v>1.6780218E-4</v>
      </c>
      <c r="H58" s="176"/>
      <c r="I58" s="177"/>
      <c r="J58" s="176"/>
      <c r="K58" s="177"/>
      <c r="L58" s="176"/>
      <c r="M58" s="162"/>
      <c r="N58" s="173"/>
      <c r="O58" s="175"/>
      <c r="P58" s="176"/>
      <c r="Q58" s="177"/>
      <c r="R58" s="176"/>
      <c r="S58" s="177"/>
      <c r="T58" s="7"/>
      <c r="U58" s="7"/>
      <c r="V58" s="176"/>
      <c r="W58" s="177"/>
      <c r="X58" s="165">
        <f t="shared" si="0"/>
        <v>3.8311E-5</v>
      </c>
      <c r="Y58" s="166">
        <f t="shared" si="1"/>
        <v>1.6780218E-4</v>
      </c>
      <c r="Z58" s="144">
        <v>0.98199999999999998</v>
      </c>
      <c r="AA58" s="5">
        <v>1.27</v>
      </c>
      <c r="AB58" s="5">
        <v>2.367</v>
      </c>
      <c r="AC58" s="135">
        <v>5.1769999999999996</v>
      </c>
      <c r="AD58" s="137">
        <v>3.8109999999999999</v>
      </c>
      <c r="AE58" s="5">
        <v>4.3109999999999999</v>
      </c>
      <c r="AF58" s="135">
        <v>7.0819999999999999</v>
      </c>
      <c r="AG58" t="str">
        <f t="shared" si="3"/>
        <v/>
      </c>
      <c r="AH58" t="str">
        <f t="shared" si="2"/>
        <v/>
      </c>
    </row>
    <row r="59" spans="3:34" x14ac:dyDescent="0.2">
      <c r="C59" s="17" t="s">
        <v>56</v>
      </c>
      <c r="D59" s="165">
        <f>'1.4'!F62</f>
        <v>4.9019607843137259E-8</v>
      </c>
      <c r="E59" s="166">
        <f>'1.4'!G62</f>
        <v>2.147058823529412E-7</v>
      </c>
      <c r="F59" s="165">
        <f>'3.2'!E72</f>
        <v>5.3144000000000005E-7</v>
      </c>
      <c r="G59" s="166">
        <f>'3.2'!F72</f>
        <v>2.3277072E-6</v>
      </c>
      <c r="H59" s="173"/>
      <c r="I59" s="175"/>
      <c r="J59" s="173"/>
      <c r="K59" s="175"/>
      <c r="L59" s="173"/>
      <c r="M59" s="161"/>
      <c r="N59" s="173"/>
      <c r="O59" s="175"/>
      <c r="P59" s="176"/>
      <c r="Q59" s="177"/>
      <c r="R59" s="173"/>
      <c r="S59" s="175"/>
      <c r="T59" s="210"/>
      <c r="U59" s="210"/>
      <c r="V59" s="173"/>
      <c r="W59" s="175"/>
      <c r="X59" s="165">
        <f t="shared" si="0"/>
        <v>5.8045960784313734E-7</v>
      </c>
      <c r="Y59" s="166">
        <f t="shared" si="1"/>
        <v>2.5424130823529411E-6</v>
      </c>
      <c r="Z59" s="144"/>
      <c r="AA59" s="5"/>
      <c r="AB59" s="5"/>
      <c r="AC59" s="135"/>
      <c r="AD59" s="137"/>
      <c r="AE59" s="5"/>
      <c r="AF59" s="135"/>
      <c r="AG59" t="str">
        <f t="shared" si="3"/>
        <v/>
      </c>
      <c r="AH59" t="str">
        <f t="shared" si="2"/>
        <v/>
      </c>
    </row>
    <row r="60" spans="3:34" x14ac:dyDescent="0.2">
      <c r="C60" s="17" t="s">
        <v>39</v>
      </c>
      <c r="D60" s="165">
        <f>'1.4'!F73</f>
        <v>2.3529411764705881E-7</v>
      </c>
      <c r="E60" s="166">
        <f>'1.4'!G73</f>
        <v>1.0305882352941175E-6</v>
      </c>
      <c r="F60" s="173"/>
      <c r="G60" s="175"/>
      <c r="H60" s="173"/>
      <c r="I60" s="175"/>
      <c r="J60" s="173"/>
      <c r="K60" s="175"/>
      <c r="L60" s="173"/>
      <c r="M60" s="161"/>
      <c r="N60" s="173"/>
      <c r="O60" s="175"/>
      <c r="P60" s="176"/>
      <c r="Q60" s="177"/>
      <c r="R60" s="173"/>
      <c r="S60" s="175"/>
      <c r="T60" s="210"/>
      <c r="U60" s="210"/>
      <c r="V60" s="173"/>
      <c r="W60" s="175"/>
      <c r="X60" s="165">
        <f t="shared" si="0"/>
        <v>2.3529411764705881E-7</v>
      </c>
      <c r="Y60" s="166">
        <f t="shared" si="1"/>
        <v>1.0305882352941175E-6</v>
      </c>
      <c r="Z60" s="144">
        <v>0.01</v>
      </c>
      <c r="AA60" s="5">
        <v>1.2999999999999999E-2</v>
      </c>
      <c r="AB60" s="5">
        <v>2.5000000000000001E-2</v>
      </c>
      <c r="AC60" s="135">
        <v>5.3999999999999999E-2</v>
      </c>
      <c r="AD60" s="137">
        <v>0.04</v>
      </c>
      <c r="AE60" s="5">
        <v>4.4999999999999998E-2</v>
      </c>
      <c r="AF60" s="135">
        <v>7.3999999999999996E-2</v>
      </c>
      <c r="AG60" t="str">
        <f t="shared" si="3"/>
        <v/>
      </c>
      <c r="AH60" t="str">
        <f t="shared" si="2"/>
        <v/>
      </c>
    </row>
    <row r="61" spans="3:34" x14ac:dyDescent="0.2">
      <c r="C61" s="17" t="s">
        <v>113</v>
      </c>
      <c r="D61" s="55"/>
      <c r="E61" s="58"/>
      <c r="F61" s="165">
        <f>'3.2'!E73</f>
        <v>4.9867999999999998E-5</v>
      </c>
      <c r="G61" s="166">
        <f>'3.2'!F73</f>
        <v>2.1842183999999998E-4</v>
      </c>
      <c r="H61" s="176"/>
      <c r="I61" s="177"/>
      <c r="J61" s="176"/>
      <c r="K61" s="177"/>
      <c r="L61" s="176"/>
      <c r="M61" s="162"/>
      <c r="N61" s="173"/>
      <c r="O61" s="175"/>
      <c r="P61" s="176"/>
      <c r="Q61" s="177"/>
      <c r="R61" s="176"/>
      <c r="S61" s="177"/>
      <c r="T61" s="7"/>
      <c r="U61" s="7"/>
      <c r="V61" s="176"/>
      <c r="W61" s="177"/>
      <c r="X61" s="165">
        <f t="shared" si="0"/>
        <v>4.9867999999999998E-5</v>
      </c>
      <c r="Y61" s="166">
        <f t="shared" si="1"/>
        <v>2.1842183999999998E-4</v>
      </c>
      <c r="Z61" s="144">
        <v>4.3449999999999998</v>
      </c>
      <c r="AA61" s="5">
        <v>5.6230000000000002</v>
      </c>
      <c r="AB61" s="5">
        <v>10.48</v>
      </c>
      <c r="AC61" s="135">
        <v>22.919</v>
      </c>
      <c r="AD61" s="137">
        <v>16.87</v>
      </c>
      <c r="AE61" s="5">
        <v>19.085000000000001</v>
      </c>
      <c r="AF61" s="135">
        <v>31.355</v>
      </c>
      <c r="AG61" t="str">
        <f t="shared" si="3"/>
        <v/>
      </c>
      <c r="AH61" t="str">
        <f t="shared" si="2"/>
        <v/>
      </c>
    </row>
    <row r="62" spans="3:34" x14ac:dyDescent="0.2">
      <c r="C62" s="17" t="s">
        <v>55</v>
      </c>
      <c r="D62" s="165">
        <f>'1.4'!F63</f>
        <v>3.3333333333333335E-5</v>
      </c>
      <c r="E62" s="166">
        <f>'1.4'!G63</f>
        <v>1.4600000000000003E-4</v>
      </c>
      <c r="F62" s="165">
        <f>'3.2'!E74</f>
        <v>8.7633000000000003E-4</v>
      </c>
      <c r="G62" s="166">
        <f>'3.2'!F74</f>
        <v>3.8383254000000002E-3</v>
      </c>
      <c r="H62" s="167">
        <f>'5.2'!F31</f>
        <v>1.6817010701596725E-2</v>
      </c>
      <c r="I62" s="168">
        <f>'5.2'!G31</f>
        <v>7.3658506872993662E-2</v>
      </c>
      <c r="J62" s="167">
        <f>'7.1'!I21</f>
        <v>4.5111013139364337E-4</v>
      </c>
      <c r="K62" s="168">
        <f>'7.1'!J21</f>
        <v>1.9758623755041578E-3</v>
      </c>
      <c r="L62" s="167">
        <f>'V-B'!L49</f>
        <v>1.4421185012002443E-3</v>
      </c>
      <c r="M62" s="158">
        <f>'V-B'!M49</f>
        <v>6.3164790352570705E-3</v>
      </c>
      <c r="N62" s="173"/>
      <c r="O62" s="175"/>
      <c r="P62" s="176"/>
      <c r="Q62" s="177"/>
      <c r="R62" s="167">
        <f>Dehy!G21</f>
        <v>3.0300192795535291E-2</v>
      </c>
      <c r="S62" s="168">
        <f>Dehy!H21</f>
        <v>0.13271484444444456</v>
      </c>
      <c r="T62" s="209">
        <f>Pneu!F28</f>
        <v>6.4270468170896291E-3</v>
      </c>
      <c r="U62" s="209">
        <f>Pneu!G28</f>
        <v>2.8150465058852575E-2</v>
      </c>
      <c r="V62" s="167">
        <f>Fug!H44</f>
        <v>3.4686428782650683E-4</v>
      </c>
      <c r="W62" s="168">
        <f>Fug!I44</f>
        <v>1.5192655806800998E-3</v>
      </c>
      <c r="X62" s="167">
        <f t="shared" si="0"/>
        <v>5.669400656797538E-2</v>
      </c>
      <c r="Y62" s="168">
        <f t="shared" si="1"/>
        <v>0.24831974876773213</v>
      </c>
      <c r="Z62" s="144">
        <v>3.843</v>
      </c>
      <c r="AA62" s="5">
        <v>4.9740000000000002</v>
      </c>
      <c r="AB62" s="5">
        <v>9.27</v>
      </c>
      <c r="AC62" s="135">
        <v>20.271999999999998</v>
      </c>
      <c r="AD62" s="137">
        <v>14.922000000000001</v>
      </c>
      <c r="AE62" s="5">
        <v>16.881</v>
      </c>
      <c r="AF62" s="135">
        <v>27.733000000000001</v>
      </c>
      <c r="AG62" t="str">
        <f t="shared" si="3"/>
        <v/>
      </c>
      <c r="AH62" t="str">
        <f t="shared" si="2"/>
        <v/>
      </c>
    </row>
    <row r="63" spans="3:34" x14ac:dyDescent="0.2">
      <c r="C63" s="17" t="s">
        <v>114</v>
      </c>
      <c r="D63" s="55"/>
      <c r="E63" s="58"/>
      <c r="F63" s="165">
        <f>'3.2'!E75</f>
        <v>2.2477000000000002E-5</v>
      </c>
      <c r="G63" s="166">
        <f>'3.2'!F75</f>
        <v>9.844926000000001E-5</v>
      </c>
      <c r="H63" s="55"/>
      <c r="I63" s="58"/>
      <c r="J63" s="55"/>
      <c r="K63" s="58"/>
      <c r="L63" s="55"/>
      <c r="M63" s="146"/>
      <c r="N63" s="173"/>
      <c r="O63" s="175"/>
      <c r="P63" s="176"/>
      <c r="Q63" s="177"/>
      <c r="R63" s="55"/>
      <c r="S63" s="58"/>
      <c r="T63" s="2"/>
      <c r="U63" s="2"/>
      <c r="V63" s="55"/>
      <c r="W63" s="58"/>
      <c r="X63" s="165">
        <f t="shared" si="0"/>
        <v>2.2477000000000002E-5</v>
      </c>
      <c r="Y63" s="166">
        <f t="shared" si="1"/>
        <v>9.844926000000001E-5</v>
      </c>
      <c r="Z63" s="144">
        <v>4.3499999999999997E-2</v>
      </c>
      <c r="AA63" s="5">
        <v>5.62E-2</v>
      </c>
      <c r="AB63" s="5">
        <v>0.1048</v>
      </c>
      <c r="AC63" s="135">
        <v>0.2301</v>
      </c>
      <c r="AD63" s="137">
        <v>0.16869999999999999</v>
      </c>
      <c r="AE63" s="5">
        <v>0.20710000000000001</v>
      </c>
      <c r="AF63" s="135">
        <v>0.31440000000000001</v>
      </c>
      <c r="AG63" t="str">
        <f t="shared" si="3"/>
        <v/>
      </c>
      <c r="AH63" t="str">
        <f t="shared" si="2"/>
        <v/>
      </c>
    </row>
    <row r="64" spans="3:34" x14ac:dyDescent="0.2">
      <c r="C64" s="17" t="s">
        <v>115</v>
      </c>
      <c r="D64" s="55"/>
      <c r="E64" s="58"/>
      <c r="F64" s="165">
        <f>'3.2'!E76</f>
        <v>2.4388000000000003E-4</v>
      </c>
      <c r="G64" s="166">
        <f>'3.2'!F76</f>
        <v>1.0681944000000001E-3</v>
      </c>
      <c r="H64" s="167">
        <f>'5.2'!F33</f>
        <v>5.311586519172351E-3</v>
      </c>
      <c r="I64" s="168">
        <f>'5.2'!G33</f>
        <v>2.3264748953974897E-2</v>
      </c>
      <c r="J64" s="167">
        <f>'7.1'!I23</f>
        <v>1.4248135623443712E-4</v>
      </c>
      <c r="K64" s="168">
        <f>'7.1'!J23</f>
        <v>6.2406834030683455E-4</v>
      </c>
      <c r="L64" s="167">
        <f>'V-B'!L51</f>
        <v>4.5548744220618023E-4</v>
      </c>
      <c r="M64" s="158">
        <f>'V-B'!M51</f>
        <v>1.9950349968630692E-3</v>
      </c>
      <c r="N64" s="173"/>
      <c r="O64" s="175"/>
      <c r="P64" s="176"/>
      <c r="Q64" s="177"/>
      <c r="R64" s="167">
        <f>Dehy!G23</f>
        <v>2.6258346017250151E-2</v>
      </c>
      <c r="S64" s="168">
        <f>Dehy!H23</f>
        <v>0.11501155555555566</v>
      </c>
      <c r="T64" s="209">
        <f>Pneu!F30</f>
        <v>2.029957394776561E-3</v>
      </c>
      <c r="U64" s="209">
        <f>Pneu!G30</f>
        <v>8.8912133891213361E-3</v>
      </c>
      <c r="V64" s="167">
        <f>Fug!H46</f>
        <v>1.0955571759412995E-4</v>
      </c>
      <c r="W64" s="168">
        <f>Fug!I46</f>
        <v>4.7985404306228918E-4</v>
      </c>
      <c r="X64" s="167">
        <f t="shared" si="0"/>
        <v>3.4551294447233809E-2</v>
      </c>
      <c r="Y64" s="168">
        <f t="shared" si="1"/>
        <v>0.15133466967888407</v>
      </c>
      <c r="Z64" s="144">
        <v>22.143999999999998</v>
      </c>
      <c r="AA64" s="5">
        <v>28.657</v>
      </c>
      <c r="AB64" s="5">
        <v>53.405999999999999</v>
      </c>
      <c r="AC64" s="135">
        <v>116.798</v>
      </c>
      <c r="AD64" s="137">
        <v>85.97</v>
      </c>
      <c r="AE64" s="5">
        <v>97.259</v>
      </c>
      <c r="AF64" s="135">
        <v>159.78299999999999</v>
      </c>
      <c r="AG64" t="str">
        <f t="shared" si="3"/>
        <v/>
      </c>
      <c r="AH64" t="str">
        <f t="shared" si="2"/>
        <v/>
      </c>
    </row>
    <row r="65" spans="4:25" x14ac:dyDescent="0.2">
      <c r="D65" s="169"/>
      <c r="E65" s="170"/>
      <c r="F65" s="169"/>
      <c r="G65" s="170"/>
      <c r="H65" s="169"/>
      <c r="I65" s="170"/>
      <c r="J65" s="169"/>
      <c r="K65" s="170"/>
      <c r="L65" s="169"/>
      <c r="M65" s="159"/>
      <c r="N65" s="169"/>
      <c r="O65" s="170"/>
      <c r="P65" s="169"/>
      <c r="Q65" s="170"/>
      <c r="R65" s="169"/>
      <c r="S65" s="170"/>
      <c r="T65" s="212"/>
      <c r="U65" s="212"/>
      <c r="V65" s="169"/>
      <c r="W65" s="170"/>
      <c r="X65" s="169"/>
      <c r="Y65" s="170"/>
    </row>
    <row r="66" spans="4:25" x14ac:dyDescent="0.2">
      <c r="D66" s="171">
        <f>SUM(D8:D65)</f>
        <v>1.8514296078431369E-2</v>
      </c>
      <c r="E66" s="172">
        <f>SUM(E8:E65)</f>
        <v>8.1092616823529418E-2</v>
      </c>
      <c r="F66" s="171">
        <f>SUM(F8:F65)</f>
        <v>7.2376961520500022E-2</v>
      </c>
      <c r="G66" s="172">
        <f>SUM(G8:G65)</f>
        <v>0.31701109145979006</v>
      </c>
      <c r="H66" s="171">
        <f t="shared" ref="H66:I66" si="4">SUM(H8:H65)</f>
        <v>0.26058442270417398</v>
      </c>
      <c r="I66" s="172">
        <f t="shared" si="4"/>
        <v>1.1413597714442818</v>
      </c>
      <c r="J66" s="171">
        <f>SUM(J8:J65)</f>
        <v>6.9900813676746594E-3</v>
      </c>
      <c r="K66" s="172">
        <f>SUM(K8:K65)</f>
        <v>3.0616556390415006E-2</v>
      </c>
      <c r="L66" s="171">
        <f t="shared" ref="L66:M66" si="5">SUM(L8:L65)</f>
        <v>2.2346041384786283E-2</v>
      </c>
      <c r="M66" s="160">
        <f t="shared" si="5"/>
        <v>9.7875661265363914E-2</v>
      </c>
      <c r="N66" s="171">
        <f t="shared" ref="N66:Q66" si="6">SUM(N8:N65)</f>
        <v>2.3356164383561647E-3</v>
      </c>
      <c r="O66" s="172">
        <f t="shared" si="6"/>
        <v>1.023E-2</v>
      </c>
      <c r="P66" s="171">
        <f t="shared" si="6"/>
        <v>0</v>
      </c>
      <c r="Q66" s="172">
        <f t="shared" si="6"/>
        <v>0</v>
      </c>
      <c r="R66" s="171">
        <f>SUM(R8:R65)</f>
        <v>9.3750400811770759E-2</v>
      </c>
      <c r="S66" s="172">
        <f>SUM(S8:S65)</f>
        <v>0.41062675555555594</v>
      </c>
      <c r="T66" s="31"/>
      <c r="U66" s="31"/>
      <c r="V66" s="171">
        <f t="shared" ref="V66:W66" si="7">SUM(V8:V65)</f>
        <v>5.3747620075774048E-3</v>
      </c>
      <c r="W66" s="172">
        <f t="shared" si="7"/>
        <v>2.3541457593189031E-2</v>
      </c>
      <c r="X66" s="171">
        <f>SUM(X8:X65)</f>
        <v>0.58186152319234041</v>
      </c>
      <c r="Y66" s="172">
        <f>SUM(Y8:Y65)</f>
        <v>2.5485534715824509</v>
      </c>
    </row>
  </sheetData>
  <mergeCells count="13">
    <mergeCell ref="AD6:AF6"/>
    <mergeCell ref="R6:S6"/>
    <mergeCell ref="F6:G6"/>
    <mergeCell ref="D6:E6"/>
    <mergeCell ref="X6:Y6"/>
    <mergeCell ref="Z6:AC6"/>
    <mergeCell ref="J6:K6"/>
    <mergeCell ref="L6:M6"/>
    <mergeCell ref="H6:I6"/>
    <mergeCell ref="V6:W6"/>
    <mergeCell ref="N6:O6"/>
    <mergeCell ref="P6:Q6"/>
    <mergeCell ref="T6:U6"/>
  </mergeCells>
  <pageMargins left="0.75" right="0.75" top="1" bottom="1" header="0.5" footer="0.5"/>
  <pageSetup scale="3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6"/>
  <sheetViews>
    <sheetView zoomScale="85" workbookViewId="0"/>
  </sheetViews>
  <sheetFormatPr defaultRowHeight="12.75" x14ac:dyDescent="0.2"/>
  <cols>
    <col min="1" max="1" width="9" customWidth="1"/>
  </cols>
  <sheetData>
    <row r="1" spans="1:20" ht="26.25" x14ac:dyDescent="0.4">
      <c r="A1" s="34" t="s">
        <v>181</v>
      </c>
      <c r="B1" s="34"/>
      <c r="C1" s="34"/>
      <c r="D1" s="34"/>
      <c r="E1" s="34"/>
      <c r="F1" s="34"/>
      <c r="L1" s="2"/>
      <c r="M1" s="2"/>
    </row>
    <row r="2" spans="1:20" x14ac:dyDescent="0.2">
      <c r="A2" t="s">
        <v>0</v>
      </c>
      <c r="B2" s="11" t="str">
        <f>'Controlled Emissions'!B2</f>
        <v>ABC Company</v>
      </c>
      <c r="C2" s="11"/>
    </row>
    <row r="3" spans="1:20" ht="12.75" customHeight="1" x14ac:dyDescent="0.2">
      <c r="A3" t="s">
        <v>1</v>
      </c>
      <c r="B3" s="11" t="str">
        <f>'Controlled Emissions'!B3</f>
        <v>State of Utah</v>
      </c>
      <c r="C3" s="11"/>
    </row>
    <row r="4" spans="1:20" x14ac:dyDescent="0.2">
      <c r="A4" t="s">
        <v>2</v>
      </c>
      <c r="B4" s="11" t="str">
        <f>'Controlled Emissions'!B4</f>
        <v>January 2014</v>
      </c>
      <c r="C4" s="11"/>
    </row>
    <row r="6" spans="1:20" s="2" customFormat="1" ht="15.75" x14ac:dyDescent="0.3">
      <c r="B6"/>
      <c r="C6" s="67" t="s">
        <v>6</v>
      </c>
      <c r="D6" s="68" t="s">
        <v>9</v>
      </c>
      <c r="E6" s="68" t="s">
        <v>10</v>
      </c>
      <c r="F6" s="68" t="s">
        <v>3</v>
      </c>
      <c r="G6" s="68" t="s">
        <v>11</v>
      </c>
      <c r="H6" s="68" t="s">
        <v>119</v>
      </c>
      <c r="I6" s="68" t="s">
        <v>120</v>
      </c>
      <c r="J6" s="68" t="s">
        <v>7</v>
      </c>
      <c r="K6" s="68" t="s">
        <v>4</v>
      </c>
      <c r="L6" s="68" t="s">
        <v>12</v>
      </c>
      <c r="M6" s="74" t="s">
        <v>129</v>
      </c>
    </row>
    <row r="7" spans="1:20" s="2" customFormat="1" ht="13.5" thickBot="1" x14ac:dyDescent="0.25">
      <c r="B7"/>
      <c r="C7" s="65" t="s">
        <v>14</v>
      </c>
      <c r="D7" s="22" t="s">
        <v>14</v>
      </c>
      <c r="E7" s="22" t="s">
        <v>14</v>
      </c>
      <c r="F7" s="22" t="s">
        <v>14</v>
      </c>
      <c r="G7" s="22" t="s">
        <v>14</v>
      </c>
      <c r="H7" s="22" t="s">
        <v>14</v>
      </c>
      <c r="I7" s="22" t="s">
        <v>14</v>
      </c>
      <c r="J7" s="22" t="s">
        <v>14</v>
      </c>
      <c r="K7" s="22" t="s">
        <v>14</v>
      </c>
      <c r="L7" s="22" t="s">
        <v>14</v>
      </c>
      <c r="M7" s="75" t="s">
        <v>14</v>
      </c>
    </row>
    <row r="8" spans="1:20" x14ac:dyDescent="0.2">
      <c r="B8" s="23" t="s">
        <v>5</v>
      </c>
      <c r="C8" s="54">
        <f>SUM($H$9:$I$9)</f>
        <v>0.32635294117647062</v>
      </c>
      <c r="D8" s="29">
        <f>$G$30</f>
        <v>2.5764705882352943E-2</v>
      </c>
      <c r="E8" s="29">
        <f>$G$21</f>
        <v>4.2941176470588234</v>
      </c>
      <c r="F8" s="29">
        <f>$G$22</f>
        <v>3.6070588235294117</v>
      </c>
      <c r="G8" s="29">
        <f>$G$32</f>
        <v>2.1470588235294119E-5</v>
      </c>
      <c r="H8" s="29"/>
      <c r="I8" s="29">
        <f>$G$28</f>
        <v>0.32635294117647062</v>
      </c>
      <c r="J8" s="29">
        <f>$G$29</f>
        <v>0.32635294117647062</v>
      </c>
      <c r="K8" s="29">
        <f>$G$31</f>
        <v>0.23617647058823529</v>
      </c>
      <c r="L8" s="29">
        <f>$G$37</f>
        <v>8.1114087411764707E-2</v>
      </c>
      <c r="M8" s="78">
        <f>$F$36-G35+G23</f>
        <v>5184.3011176470591</v>
      </c>
    </row>
    <row r="9" spans="1:20" x14ac:dyDescent="0.2">
      <c r="B9" s="23" t="s">
        <v>298</v>
      </c>
      <c r="C9" s="54">
        <f>SUM($H$9:$I$9)</f>
        <v>0.32635294117647062</v>
      </c>
      <c r="D9" s="29">
        <f>$G$30</f>
        <v>2.5764705882352943E-2</v>
      </c>
      <c r="E9" s="29">
        <f>$G$26</f>
        <v>4.2941176470588234</v>
      </c>
      <c r="F9" s="29">
        <f>$G$27</f>
        <v>3.6070588235294117</v>
      </c>
      <c r="G9" s="29">
        <f>$G$32</f>
        <v>2.1470588235294119E-5</v>
      </c>
      <c r="H9" s="29"/>
      <c r="I9" s="29">
        <f>$G$28</f>
        <v>0.32635294117647062</v>
      </c>
      <c r="J9" s="29">
        <f>$G$29</f>
        <v>0.32635294117647062</v>
      </c>
      <c r="K9" s="29">
        <f>$G$31</f>
        <v>0.23617647058823529</v>
      </c>
      <c r="L9" s="29">
        <f>$G$37</f>
        <v>8.1114087411764707E-2</v>
      </c>
      <c r="M9" s="79">
        <f>$F$36</f>
        <v>5184.3011176470591</v>
      </c>
    </row>
    <row r="10" spans="1:20" x14ac:dyDescent="0.2">
      <c r="O10" s="2"/>
      <c r="P10" s="43"/>
      <c r="Q10" s="49"/>
      <c r="R10" s="2"/>
      <c r="S10" s="2"/>
    </row>
    <row r="11" spans="1:20" ht="15.75" x14ac:dyDescent="0.3">
      <c r="C11" s="67" t="s">
        <v>6</v>
      </c>
      <c r="D11" s="68" t="s">
        <v>9</v>
      </c>
      <c r="E11" s="68" t="s">
        <v>10</v>
      </c>
      <c r="F11" s="68" t="s">
        <v>3</v>
      </c>
      <c r="G11" s="68" t="s">
        <v>11</v>
      </c>
      <c r="H11" s="68" t="s">
        <v>119</v>
      </c>
      <c r="I11" s="68" t="s">
        <v>120</v>
      </c>
      <c r="J11" s="68" t="s">
        <v>7</v>
      </c>
      <c r="K11" s="68" t="s">
        <v>4</v>
      </c>
      <c r="L11" s="69" t="s">
        <v>12</v>
      </c>
      <c r="O11" s="2"/>
      <c r="P11" s="43"/>
      <c r="Q11" s="49"/>
      <c r="R11" s="2"/>
      <c r="S11" s="2"/>
    </row>
    <row r="12" spans="1:20" ht="13.5" thickBot="1" x14ac:dyDescent="0.25">
      <c r="C12" s="65" t="s">
        <v>15</v>
      </c>
      <c r="D12" s="22" t="s">
        <v>15</v>
      </c>
      <c r="E12" s="22" t="s">
        <v>15</v>
      </c>
      <c r="F12" s="22" t="s">
        <v>15</v>
      </c>
      <c r="G12" s="22" t="s">
        <v>15</v>
      </c>
      <c r="H12" s="22" t="s">
        <v>15</v>
      </c>
      <c r="I12" s="22" t="s">
        <v>15</v>
      </c>
      <c r="J12" s="22" t="s">
        <v>15</v>
      </c>
      <c r="K12" s="22" t="s">
        <v>15</v>
      </c>
      <c r="L12" s="66" t="s">
        <v>15</v>
      </c>
      <c r="O12" s="2"/>
      <c r="P12" s="43"/>
      <c r="Q12" s="49"/>
      <c r="R12" s="2"/>
      <c r="S12" s="2"/>
    </row>
    <row r="13" spans="1:20" x14ac:dyDescent="0.2">
      <c r="C13" s="54">
        <f>SUM($H$14:$I$14)</f>
        <v>7.4509803921568626E-2</v>
      </c>
      <c r="D13" s="29">
        <f>$F$30</f>
        <v>5.8823529411764705E-3</v>
      </c>
      <c r="E13" s="29">
        <f>$F$21</f>
        <v>0.98039215686274506</v>
      </c>
      <c r="F13" s="29">
        <f>$F$22</f>
        <v>0.82352941176470584</v>
      </c>
      <c r="G13" s="29">
        <f>$F$32</f>
        <v>4.9019607843137256E-6</v>
      </c>
      <c r="H13" s="29"/>
      <c r="I13" s="29">
        <f>$F$28</f>
        <v>7.4509803921568626E-2</v>
      </c>
      <c r="J13" s="29">
        <f>$F$29</f>
        <v>7.4509803921568626E-2</v>
      </c>
      <c r="K13" s="29">
        <f>$F$31</f>
        <v>5.3921568627450983E-2</v>
      </c>
      <c r="L13" s="59">
        <f>$F$37</f>
        <v>1.8519198039215683E-2</v>
      </c>
      <c r="O13" s="2"/>
      <c r="P13" s="43"/>
      <c r="Q13" s="49"/>
      <c r="R13" s="2"/>
      <c r="S13" s="2"/>
    </row>
    <row r="14" spans="1:20" x14ac:dyDescent="0.2">
      <c r="C14" s="54">
        <f>SUM($H$14:$I$14)</f>
        <v>7.4509803921568626E-2</v>
      </c>
      <c r="D14" s="29">
        <f>$F$30</f>
        <v>5.8823529411764705E-3</v>
      </c>
      <c r="E14" s="29">
        <f>$F$26</f>
        <v>0.98039215686274506</v>
      </c>
      <c r="F14" s="29">
        <f>$F$27</f>
        <v>0.82352941176470584</v>
      </c>
      <c r="G14" s="29">
        <f>$F$32</f>
        <v>4.9019607843137256E-6</v>
      </c>
      <c r="H14" s="29"/>
      <c r="I14" s="29">
        <f>$F$28</f>
        <v>7.4509803921568626E-2</v>
      </c>
      <c r="J14" s="29">
        <f>$F$29</f>
        <v>7.4509803921568626E-2</v>
      </c>
      <c r="K14" s="29">
        <f>$F$31</f>
        <v>5.3921568627450983E-2</v>
      </c>
      <c r="L14" s="59">
        <f>$F$37</f>
        <v>1.8519198039215683E-2</v>
      </c>
      <c r="O14" s="2"/>
      <c r="P14" s="43"/>
      <c r="Q14" s="49"/>
      <c r="R14" s="2"/>
      <c r="S14" s="2"/>
    </row>
    <row r="15" spans="1:20" x14ac:dyDescent="0.2">
      <c r="T15" s="2"/>
    </row>
    <row r="16" spans="1:20" x14ac:dyDescent="0.2">
      <c r="B16" s="8" t="s">
        <v>131</v>
      </c>
      <c r="Q16" s="2"/>
    </row>
    <row r="17" spans="2:17" x14ac:dyDescent="0.2">
      <c r="B17" s="10">
        <v>8760</v>
      </c>
      <c r="C17" s="2" t="s">
        <v>8</v>
      </c>
      <c r="Q17" s="2"/>
    </row>
    <row r="18" spans="2:17" x14ac:dyDescent="0.2">
      <c r="B18" s="71">
        <v>10</v>
      </c>
      <c r="C18" s="2" t="s">
        <v>125</v>
      </c>
      <c r="Q18" s="2"/>
    </row>
    <row r="19" spans="2:17" x14ac:dyDescent="0.2">
      <c r="Q19" s="2"/>
    </row>
    <row r="20" spans="2:17" x14ac:dyDescent="0.2">
      <c r="C20" s="64" t="s">
        <v>5</v>
      </c>
      <c r="D20" s="2" t="s">
        <v>20</v>
      </c>
      <c r="E20" s="2" t="s">
        <v>17</v>
      </c>
      <c r="F20" s="2" t="s">
        <v>18</v>
      </c>
      <c r="G20" s="2" t="s">
        <v>13</v>
      </c>
      <c r="P20" s="2"/>
    </row>
    <row r="21" spans="2:17" ht="15.75" x14ac:dyDescent="0.3">
      <c r="C21" s="1" t="s">
        <v>10</v>
      </c>
      <c r="D21" s="89">
        <v>100</v>
      </c>
      <c r="E21" s="31">
        <f>D21/1020</f>
        <v>9.8039215686274508E-2</v>
      </c>
      <c r="F21" s="70">
        <f>E21*$B$18</f>
        <v>0.98039215686274506</v>
      </c>
      <c r="G21" s="70">
        <f>F21*$B$17/2000</f>
        <v>4.2941176470588234</v>
      </c>
      <c r="H21" t="s">
        <v>69</v>
      </c>
      <c r="P21" s="2"/>
    </row>
    <row r="22" spans="2:17" x14ac:dyDescent="0.2">
      <c r="C22" s="1" t="s">
        <v>3</v>
      </c>
      <c r="D22" s="89">
        <v>84</v>
      </c>
      <c r="E22" s="31">
        <f>D22/1020</f>
        <v>8.2352941176470587E-2</v>
      </c>
      <c r="F22" s="70">
        <f>E22*$B$18</f>
        <v>0.82352941176470584</v>
      </c>
      <c r="G22" s="70">
        <f>F22*$B$17/2000</f>
        <v>3.6070588235294117</v>
      </c>
      <c r="H22" t="s">
        <v>69</v>
      </c>
    </row>
    <row r="23" spans="2:17" ht="15.75" x14ac:dyDescent="0.3">
      <c r="B23" s="104">
        <v>310</v>
      </c>
      <c r="C23" s="105" t="s">
        <v>128</v>
      </c>
      <c r="D23" s="91">
        <v>2.2000000000000002</v>
      </c>
      <c r="E23" s="73">
        <f>D23/1020*B23</f>
        <v>0.66862745098039222</v>
      </c>
      <c r="F23" s="93">
        <f>E23*$B$18</f>
        <v>6.6862745098039227</v>
      </c>
      <c r="G23" s="93">
        <f>F23*$B$17/2000</f>
        <v>29.285882352941183</v>
      </c>
      <c r="H23" t="s">
        <v>70</v>
      </c>
    </row>
    <row r="24" spans="2:17" x14ac:dyDescent="0.2">
      <c r="F24" s="40"/>
      <c r="G24" s="40"/>
    </row>
    <row r="25" spans="2:17" x14ac:dyDescent="0.2">
      <c r="C25" s="64" t="s">
        <v>121</v>
      </c>
      <c r="D25" s="2" t="s">
        <v>20</v>
      </c>
      <c r="E25" s="2" t="s">
        <v>17</v>
      </c>
      <c r="F25" s="49" t="s">
        <v>18</v>
      </c>
      <c r="G25" s="49" t="s">
        <v>13</v>
      </c>
    </row>
    <row r="26" spans="2:17" ht="15.75" x14ac:dyDescent="0.3">
      <c r="C26" s="1" t="s">
        <v>10</v>
      </c>
      <c r="D26" s="97">
        <v>100</v>
      </c>
      <c r="E26" s="31">
        <f>D26/1020</f>
        <v>9.8039215686274508E-2</v>
      </c>
      <c r="F26" s="70">
        <f t="shared" ref="F26:F35" si="0">E26*$B$18</f>
        <v>0.98039215686274506</v>
      </c>
      <c r="G26" s="70">
        <f t="shared" ref="G26:G35" si="1">F26*$B$17/2000</f>
        <v>4.2941176470588234</v>
      </c>
      <c r="H26" t="s">
        <v>69</v>
      </c>
    </row>
    <row r="27" spans="2:17" x14ac:dyDescent="0.2">
      <c r="C27" s="1" t="s">
        <v>3</v>
      </c>
      <c r="D27" s="97">
        <v>84</v>
      </c>
      <c r="E27" s="31">
        <f t="shared" ref="E27:E32" si="2">D27/1020</f>
        <v>8.2352941176470587E-2</v>
      </c>
      <c r="F27" s="70">
        <f t="shared" si="0"/>
        <v>0.82352941176470584</v>
      </c>
      <c r="G27" s="70">
        <f t="shared" si="1"/>
        <v>3.6070588235294117</v>
      </c>
      <c r="H27" t="s">
        <v>69</v>
      </c>
    </row>
    <row r="28" spans="2:17" ht="15.75" x14ac:dyDescent="0.3">
      <c r="C28" s="1" t="s">
        <v>6</v>
      </c>
      <c r="D28" s="88">
        <v>7.6</v>
      </c>
      <c r="E28" s="31">
        <f t="shared" si="2"/>
        <v>7.4509803921568628E-3</v>
      </c>
      <c r="F28" s="70">
        <f t="shared" si="0"/>
        <v>7.4509803921568626E-2</v>
      </c>
      <c r="G28" s="70">
        <f t="shared" si="1"/>
        <v>0.32635294117647062</v>
      </c>
      <c r="H28" t="s">
        <v>70</v>
      </c>
    </row>
    <row r="29" spans="2:17" ht="15.75" x14ac:dyDescent="0.3">
      <c r="C29" s="1" t="s">
        <v>7</v>
      </c>
      <c r="D29" s="88">
        <v>7.6</v>
      </c>
      <c r="E29" s="31">
        <f t="shared" si="2"/>
        <v>7.4509803921568628E-3</v>
      </c>
      <c r="F29" s="70">
        <f t="shared" si="0"/>
        <v>7.4509803921568626E-2</v>
      </c>
      <c r="G29" s="70">
        <f t="shared" si="1"/>
        <v>0.32635294117647062</v>
      </c>
      <c r="H29" t="s">
        <v>70</v>
      </c>
    </row>
    <row r="30" spans="2:17" ht="15.75" x14ac:dyDescent="0.3">
      <c r="C30" s="1" t="s">
        <v>9</v>
      </c>
      <c r="D30" s="88">
        <v>0.6</v>
      </c>
      <c r="E30" s="31">
        <f t="shared" si="2"/>
        <v>5.8823529411764701E-4</v>
      </c>
      <c r="F30" s="70">
        <f t="shared" si="0"/>
        <v>5.8823529411764705E-3</v>
      </c>
      <c r="G30" s="70">
        <f t="shared" si="1"/>
        <v>2.5764705882352943E-2</v>
      </c>
      <c r="H30" t="s">
        <v>70</v>
      </c>
    </row>
    <row r="31" spans="2:17" x14ac:dyDescent="0.2">
      <c r="C31" s="1" t="s">
        <v>4</v>
      </c>
      <c r="D31" s="88">
        <v>5.5</v>
      </c>
      <c r="E31" s="31">
        <f t="shared" si="2"/>
        <v>5.392156862745098E-3</v>
      </c>
      <c r="F31" s="70">
        <f t="shared" si="0"/>
        <v>5.3921568627450983E-2</v>
      </c>
      <c r="G31" s="70">
        <f t="shared" si="1"/>
        <v>0.23617647058823529</v>
      </c>
      <c r="H31" t="s">
        <v>70</v>
      </c>
    </row>
    <row r="32" spans="2:17" x14ac:dyDescent="0.2">
      <c r="C32" s="1" t="s">
        <v>11</v>
      </c>
      <c r="D32" s="88">
        <v>5.0000000000000001E-4</v>
      </c>
      <c r="E32" s="31">
        <f t="shared" si="2"/>
        <v>4.9019607843137254E-7</v>
      </c>
      <c r="F32" s="70">
        <f t="shared" si="0"/>
        <v>4.9019607843137256E-6</v>
      </c>
      <c r="G32" s="70">
        <f t="shared" si="1"/>
        <v>2.1470588235294119E-5</v>
      </c>
      <c r="H32" t="s">
        <v>70</v>
      </c>
    </row>
    <row r="33" spans="2:8" ht="15.75" x14ac:dyDescent="0.3">
      <c r="B33" s="92">
        <v>1</v>
      </c>
      <c r="C33" s="76" t="s">
        <v>126</v>
      </c>
      <c r="D33" s="90">
        <v>120000</v>
      </c>
      <c r="E33" s="73">
        <f>D33/1020*B33</f>
        <v>117.64705882352941</v>
      </c>
      <c r="F33" s="77">
        <f t="shared" si="0"/>
        <v>1176.4705882352941</v>
      </c>
      <c r="G33" s="77">
        <f t="shared" si="1"/>
        <v>5152.9411764705883</v>
      </c>
      <c r="H33" t="s">
        <v>70</v>
      </c>
    </row>
    <row r="34" spans="2:8" ht="15.75" x14ac:dyDescent="0.3">
      <c r="B34" s="92">
        <v>21</v>
      </c>
      <c r="C34" s="76" t="s">
        <v>127</v>
      </c>
      <c r="D34" s="91">
        <v>2.2999999999999998</v>
      </c>
      <c r="E34" s="73">
        <f>D34/1020*B34</f>
        <v>4.7352941176470584E-2</v>
      </c>
      <c r="F34" s="93">
        <f t="shared" si="0"/>
        <v>0.47352941176470587</v>
      </c>
      <c r="G34" s="93">
        <f t="shared" si="1"/>
        <v>2.0740588235294117</v>
      </c>
      <c r="H34" t="s">
        <v>70</v>
      </c>
    </row>
    <row r="35" spans="2:8" ht="15.75" x14ac:dyDescent="0.3">
      <c r="B35" s="92">
        <v>310</v>
      </c>
      <c r="C35" s="76" t="s">
        <v>128</v>
      </c>
      <c r="D35" s="97">
        <v>2.2000000000000002</v>
      </c>
      <c r="E35" s="73">
        <f>D35/1020*B35</f>
        <v>0.66862745098039222</v>
      </c>
      <c r="F35" s="93">
        <f t="shared" si="0"/>
        <v>6.6862745098039227</v>
      </c>
      <c r="G35" s="93">
        <f t="shared" si="1"/>
        <v>29.285882352941183</v>
      </c>
      <c r="H35" t="s">
        <v>70</v>
      </c>
    </row>
    <row r="36" spans="2:8" ht="15.75" x14ac:dyDescent="0.3">
      <c r="B36" s="72"/>
      <c r="C36" s="76" t="s">
        <v>129</v>
      </c>
      <c r="D36" s="98"/>
      <c r="E36" s="98"/>
      <c r="F36" s="247">
        <f>SUM(G33:G35)</f>
        <v>5184.3011176470591</v>
      </c>
      <c r="G36" s="248"/>
    </row>
    <row r="37" spans="2:8" x14ac:dyDescent="0.2">
      <c r="C37" s="32" t="s">
        <v>21</v>
      </c>
      <c r="D37" s="1"/>
      <c r="E37" s="1"/>
      <c r="F37" s="70">
        <f>F75+F32</f>
        <v>1.8519198039215683E-2</v>
      </c>
      <c r="G37" s="70">
        <f>G75+G32</f>
        <v>8.1114087411764707E-2</v>
      </c>
    </row>
    <row r="39" spans="2:8" ht="13.5" thickBot="1" x14ac:dyDescent="0.25">
      <c r="B39" s="14"/>
      <c r="C39" s="13" t="s">
        <v>12</v>
      </c>
      <c r="D39" s="14" t="s">
        <v>20</v>
      </c>
      <c r="E39" s="14" t="s">
        <v>17</v>
      </c>
      <c r="F39" s="15" t="s">
        <v>18</v>
      </c>
      <c r="G39" s="15" t="s">
        <v>13</v>
      </c>
      <c r="H39" t="s">
        <v>71</v>
      </c>
    </row>
    <row r="40" spans="2:8" x14ac:dyDescent="0.2">
      <c r="C40" s="17" t="s">
        <v>43</v>
      </c>
      <c r="D40" s="94">
        <v>2.4000000000000001E-5</v>
      </c>
      <c r="E40" s="35">
        <f>D40/1020</f>
        <v>2.3529411764705881E-8</v>
      </c>
      <c r="F40" s="45">
        <f t="shared" ref="F40:F73" si="3">E40*$B$18</f>
        <v>2.3529411764705881E-7</v>
      </c>
      <c r="G40" s="45">
        <f t="shared" ref="G40:G73" si="4">F40*$B$17/2000</f>
        <v>1.0305882352941175E-6</v>
      </c>
    </row>
    <row r="41" spans="2:8" x14ac:dyDescent="0.2">
      <c r="C41" s="17" t="s">
        <v>44</v>
      </c>
      <c r="D41" s="94">
        <v>1.7999999999999999E-6</v>
      </c>
      <c r="E41" s="35">
        <f>D41/1020</f>
        <v>1.7647058823529412E-9</v>
      </c>
      <c r="F41" s="45">
        <f t="shared" si="3"/>
        <v>1.7647058823529412E-8</v>
      </c>
      <c r="G41" s="45">
        <f t="shared" si="4"/>
        <v>7.7294117647058823E-8</v>
      </c>
    </row>
    <row r="42" spans="2:8" x14ac:dyDescent="0.2">
      <c r="C42" s="17" t="s">
        <v>45</v>
      </c>
      <c r="D42" s="94">
        <v>1.5999999999999999E-5</v>
      </c>
      <c r="E42" s="35">
        <f t="shared" ref="E42:E63" si="5">D42/1020</f>
        <v>1.5686274509803922E-8</v>
      </c>
      <c r="F42" s="45">
        <f t="shared" si="3"/>
        <v>1.5686274509803921E-7</v>
      </c>
      <c r="G42" s="45">
        <f t="shared" si="4"/>
        <v>6.8705882352941166E-7</v>
      </c>
    </row>
    <row r="43" spans="2:8" x14ac:dyDescent="0.2">
      <c r="C43" s="17" t="s">
        <v>46</v>
      </c>
      <c r="D43" s="94">
        <v>1.7999999999999999E-6</v>
      </c>
      <c r="E43" s="35">
        <f t="shared" si="5"/>
        <v>1.7647058823529412E-9</v>
      </c>
      <c r="F43" s="45">
        <f t="shared" si="3"/>
        <v>1.7647058823529412E-8</v>
      </c>
      <c r="G43" s="45">
        <f t="shared" si="4"/>
        <v>7.7294117647058823E-8</v>
      </c>
    </row>
    <row r="44" spans="2:8" x14ac:dyDescent="0.2">
      <c r="C44" s="17" t="s">
        <v>47</v>
      </c>
      <c r="D44" s="94">
        <v>1.7999999999999999E-6</v>
      </c>
      <c r="E44" s="35">
        <f t="shared" si="5"/>
        <v>1.7647058823529412E-9</v>
      </c>
      <c r="F44" s="45">
        <f t="shared" si="3"/>
        <v>1.7647058823529412E-8</v>
      </c>
      <c r="G44" s="45">
        <f t="shared" si="4"/>
        <v>7.7294117647058823E-8</v>
      </c>
    </row>
    <row r="45" spans="2:8" x14ac:dyDescent="0.2">
      <c r="C45" s="17" t="s">
        <v>48</v>
      </c>
      <c r="D45" s="94">
        <v>2.3999999999999999E-6</v>
      </c>
      <c r="E45" s="35">
        <f t="shared" si="5"/>
        <v>2.3529411764705881E-9</v>
      </c>
      <c r="F45" s="45">
        <f t="shared" si="3"/>
        <v>2.3529411764705881E-8</v>
      </c>
      <c r="G45" s="45">
        <f t="shared" si="4"/>
        <v>1.0305882352941177E-7</v>
      </c>
    </row>
    <row r="46" spans="2:8" x14ac:dyDescent="0.2">
      <c r="C46" s="17" t="s">
        <v>49</v>
      </c>
      <c r="D46" s="94">
        <v>1.7999999999999999E-6</v>
      </c>
      <c r="E46" s="35">
        <f t="shared" si="5"/>
        <v>1.7647058823529412E-9</v>
      </c>
      <c r="F46" s="45">
        <f t="shared" si="3"/>
        <v>1.7647058823529412E-8</v>
      </c>
      <c r="G46" s="45">
        <f t="shared" si="4"/>
        <v>7.7294117647058823E-8</v>
      </c>
    </row>
    <row r="47" spans="2:8" x14ac:dyDescent="0.2">
      <c r="C47" s="17" t="s">
        <v>50</v>
      </c>
      <c r="D47" s="94">
        <v>2.0999999999999999E-3</v>
      </c>
      <c r="E47" s="35">
        <f t="shared" si="5"/>
        <v>2.0588235294117645E-6</v>
      </c>
      <c r="F47" s="45">
        <f t="shared" si="3"/>
        <v>2.0588235294117645E-5</v>
      </c>
      <c r="G47" s="45">
        <f t="shared" si="4"/>
        <v>9.0176470588235289E-5</v>
      </c>
    </row>
    <row r="48" spans="2:8" x14ac:dyDescent="0.2">
      <c r="C48" s="17" t="s">
        <v>51</v>
      </c>
      <c r="D48" s="94">
        <v>1.1999999999999999E-6</v>
      </c>
      <c r="E48" s="35">
        <f t="shared" si="5"/>
        <v>1.176470588235294E-9</v>
      </c>
      <c r="F48" s="45">
        <f t="shared" si="3"/>
        <v>1.1764705882352941E-8</v>
      </c>
      <c r="G48" s="45">
        <f t="shared" si="4"/>
        <v>5.1529411764705884E-8</v>
      </c>
    </row>
    <row r="49" spans="3:7" x14ac:dyDescent="0.2">
      <c r="C49" s="17" t="s">
        <v>52</v>
      </c>
      <c r="D49" s="94">
        <v>1.7999999999999999E-6</v>
      </c>
      <c r="E49" s="35">
        <f t="shared" si="5"/>
        <v>1.7647058823529412E-9</v>
      </c>
      <c r="F49" s="45">
        <f t="shared" si="3"/>
        <v>1.7647058823529412E-8</v>
      </c>
      <c r="G49" s="45">
        <f t="shared" si="4"/>
        <v>7.7294117647058823E-8</v>
      </c>
    </row>
    <row r="50" spans="3:7" x14ac:dyDescent="0.2">
      <c r="C50" s="17" t="s">
        <v>53</v>
      </c>
      <c r="D50" s="94">
        <v>1.1999999999999999E-6</v>
      </c>
      <c r="E50" s="35">
        <f t="shared" si="5"/>
        <v>1.176470588235294E-9</v>
      </c>
      <c r="F50" s="45">
        <f t="shared" si="3"/>
        <v>1.1764705882352941E-8</v>
      </c>
      <c r="G50" s="45">
        <f t="shared" si="4"/>
        <v>5.1529411764705884E-8</v>
      </c>
    </row>
    <row r="51" spans="3:7" x14ac:dyDescent="0.2">
      <c r="C51" s="17" t="s">
        <v>54</v>
      </c>
      <c r="D51" s="94">
        <v>1.7999999999999999E-6</v>
      </c>
      <c r="E51" s="35">
        <f t="shared" si="5"/>
        <v>1.7647058823529412E-9</v>
      </c>
      <c r="F51" s="45">
        <f t="shared" si="3"/>
        <v>1.7647058823529412E-8</v>
      </c>
      <c r="G51" s="45">
        <f t="shared" si="4"/>
        <v>7.7294117647058823E-8</v>
      </c>
    </row>
    <row r="52" spans="3:7" x14ac:dyDescent="0.2">
      <c r="C52" s="17" t="s">
        <v>66</v>
      </c>
      <c r="D52" s="94">
        <v>1.7999999999999999E-6</v>
      </c>
      <c r="E52" s="35">
        <f t="shared" si="5"/>
        <v>1.7647058823529412E-9</v>
      </c>
      <c r="F52" s="45">
        <f t="shared" si="3"/>
        <v>1.7647058823529412E-8</v>
      </c>
      <c r="G52" s="45">
        <f t="shared" si="4"/>
        <v>7.7294117647058823E-8</v>
      </c>
    </row>
    <row r="53" spans="3:7" x14ac:dyDescent="0.2">
      <c r="C53" s="17" t="s">
        <v>65</v>
      </c>
      <c r="D53" s="94">
        <v>1.1999999999999999E-6</v>
      </c>
      <c r="E53" s="35">
        <f t="shared" si="5"/>
        <v>1.176470588235294E-9</v>
      </c>
      <c r="F53" s="45">
        <f t="shared" si="3"/>
        <v>1.1764705882352941E-8</v>
      </c>
      <c r="G53" s="45">
        <f t="shared" si="4"/>
        <v>5.1529411764705884E-8</v>
      </c>
    </row>
    <row r="54" spans="3:7" x14ac:dyDescent="0.2">
      <c r="C54" s="17" t="s">
        <v>64</v>
      </c>
      <c r="D54" s="94">
        <v>1.1999999999999999E-3</v>
      </c>
      <c r="E54" s="35">
        <f t="shared" si="5"/>
        <v>1.176470588235294E-6</v>
      </c>
      <c r="F54" s="45">
        <f t="shared" si="3"/>
        <v>1.176470588235294E-5</v>
      </c>
      <c r="G54" s="45">
        <f t="shared" si="4"/>
        <v>5.1529411764705876E-5</v>
      </c>
    </row>
    <row r="55" spans="3:7" x14ac:dyDescent="0.2">
      <c r="C55" s="17" t="s">
        <v>63</v>
      </c>
      <c r="D55" s="94">
        <v>3.0000000000000001E-6</v>
      </c>
      <c r="E55" s="35">
        <f t="shared" si="5"/>
        <v>2.9411764705882352E-9</v>
      </c>
      <c r="F55" s="45">
        <f t="shared" si="3"/>
        <v>2.9411764705882351E-8</v>
      </c>
      <c r="G55" s="45">
        <f t="shared" si="4"/>
        <v>1.2882352941176469E-7</v>
      </c>
    </row>
    <row r="56" spans="3:7" x14ac:dyDescent="0.2">
      <c r="C56" s="17" t="s">
        <v>62</v>
      </c>
      <c r="D56" s="94">
        <v>2.7999999999999999E-6</v>
      </c>
      <c r="E56" s="35">
        <f t="shared" si="5"/>
        <v>2.7450980392156863E-9</v>
      </c>
      <c r="F56" s="45">
        <f t="shared" si="3"/>
        <v>2.7450980392156864E-8</v>
      </c>
      <c r="G56" s="45">
        <f t="shared" si="4"/>
        <v>1.2023529411764708E-7</v>
      </c>
    </row>
    <row r="57" spans="3:7" x14ac:dyDescent="0.2">
      <c r="C57" s="17" t="s">
        <v>61</v>
      </c>
      <c r="D57" s="94">
        <v>7.4999999999999997E-2</v>
      </c>
      <c r="E57" s="35">
        <f t="shared" si="5"/>
        <v>7.3529411764705876E-5</v>
      </c>
      <c r="F57" s="45">
        <f t="shared" si="3"/>
        <v>7.3529411764705881E-4</v>
      </c>
      <c r="G57" s="45">
        <f t="shared" si="4"/>
        <v>3.2205882352941179E-3</v>
      </c>
    </row>
    <row r="58" spans="3:7" x14ac:dyDescent="0.2">
      <c r="C58" s="17" t="s">
        <v>60</v>
      </c>
      <c r="D58" s="94">
        <v>1.8</v>
      </c>
      <c r="E58" s="35">
        <f t="shared" si="5"/>
        <v>1.7647058823529412E-3</v>
      </c>
      <c r="F58" s="45">
        <f t="shared" si="3"/>
        <v>1.7647058823529412E-2</v>
      </c>
      <c r="G58" s="45">
        <f t="shared" si="4"/>
        <v>7.7294117647058833E-2</v>
      </c>
    </row>
    <row r="59" spans="3:7" x14ac:dyDescent="0.2">
      <c r="C59" s="17" t="s">
        <v>59</v>
      </c>
      <c r="D59" s="94">
        <v>1.7999999999999999E-6</v>
      </c>
      <c r="E59" s="35">
        <f t="shared" si="5"/>
        <v>1.7647058823529412E-9</v>
      </c>
      <c r="F59" s="45">
        <f t="shared" si="3"/>
        <v>1.7647058823529412E-8</v>
      </c>
      <c r="G59" s="45">
        <f t="shared" si="4"/>
        <v>7.7294117647058823E-8</v>
      </c>
    </row>
    <row r="60" spans="3:7" x14ac:dyDescent="0.2">
      <c r="C60" s="17" t="s">
        <v>58</v>
      </c>
      <c r="D60" s="94">
        <v>6.0999999999999997E-4</v>
      </c>
      <c r="E60" s="35">
        <f t="shared" si="5"/>
        <v>5.9803921568627444E-7</v>
      </c>
      <c r="F60" s="45">
        <f t="shared" si="3"/>
        <v>5.980392156862744E-6</v>
      </c>
      <c r="G60" s="45">
        <f t="shared" si="4"/>
        <v>2.6194117647058819E-5</v>
      </c>
    </row>
    <row r="61" spans="3:7" x14ac:dyDescent="0.2">
      <c r="C61" s="17" t="s">
        <v>57</v>
      </c>
      <c r="D61" s="94">
        <v>1.7E-5</v>
      </c>
      <c r="E61" s="35">
        <f t="shared" si="5"/>
        <v>1.6666666666666667E-8</v>
      </c>
      <c r="F61" s="45">
        <f t="shared" si="3"/>
        <v>1.6666666666666668E-7</v>
      </c>
      <c r="G61" s="45">
        <f t="shared" si="4"/>
        <v>7.300000000000001E-7</v>
      </c>
    </row>
    <row r="62" spans="3:7" x14ac:dyDescent="0.2">
      <c r="C62" s="17" t="s">
        <v>56</v>
      </c>
      <c r="D62" s="94">
        <v>5.0000000000000004E-6</v>
      </c>
      <c r="E62" s="35">
        <f>D62/1020</f>
        <v>4.9019607843137263E-9</v>
      </c>
      <c r="F62" s="45">
        <f t="shared" si="3"/>
        <v>4.9019607843137259E-8</v>
      </c>
      <c r="G62" s="45">
        <f t="shared" si="4"/>
        <v>2.147058823529412E-7</v>
      </c>
    </row>
    <row r="63" spans="3:7" ht="13.5" thickBot="1" x14ac:dyDescent="0.25">
      <c r="C63" s="28" t="s">
        <v>55</v>
      </c>
      <c r="D63" s="95">
        <v>3.3999999999999998E-3</v>
      </c>
      <c r="E63" s="100">
        <f t="shared" si="5"/>
        <v>3.3333333333333333E-6</v>
      </c>
      <c r="F63" s="102">
        <f t="shared" si="3"/>
        <v>3.3333333333333335E-5</v>
      </c>
      <c r="G63" s="102">
        <f t="shared" si="4"/>
        <v>1.4600000000000003E-4</v>
      </c>
    </row>
    <row r="64" spans="3:7" ht="13.5" thickTop="1" x14ac:dyDescent="0.2">
      <c r="C64" s="30" t="s">
        <v>33</v>
      </c>
      <c r="D64" s="96">
        <v>2.0000000000000001E-4</v>
      </c>
      <c r="E64" s="101">
        <f t="shared" ref="E64:E72" si="6">D64/1020</f>
        <v>1.9607843137254904E-7</v>
      </c>
      <c r="F64" s="103">
        <f t="shared" si="3"/>
        <v>1.9607843137254906E-6</v>
      </c>
      <c r="G64" s="103">
        <f t="shared" si="4"/>
        <v>8.5882352941176483E-6</v>
      </c>
    </row>
    <row r="65" spans="3:15" x14ac:dyDescent="0.2">
      <c r="C65" s="17" t="s">
        <v>34</v>
      </c>
      <c r="D65" s="94">
        <v>1.2E-5</v>
      </c>
      <c r="E65" s="35">
        <f t="shared" si="6"/>
        <v>1.1764705882352941E-8</v>
      </c>
      <c r="F65" s="45">
        <f t="shared" si="3"/>
        <v>1.176470588235294E-7</v>
      </c>
      <c r="G65" s="45">
        <f t="shared" si="4"/>
        <v>5.1529411764705875E-7</v>
      </c>
      <c r="O65" s="2"/>
    </row>
    <row r="66" spans="3:15" x14ac:dyDescent="0.2">
      <c r="C66" s="17" t="s">
        <v>35</v>
      </c>
      <c r="D66" s="94">
        <v>1.1000000000000001E-3</v>
      </c>
      <c r="E66" s="35">
        <f t="shared" si="6"/>
        <v>1.0784313725490197E-6</v>
      </c>
      <c r="F66" s="45">
        <f t="shared" si="3"/>
        <v>1.0784313725490197E-5</v>
      </c>
      <c r="G66" s="45">
        <f t="shared" si="4"/>
        <v>4.7235294117647064E-5</v>
      </c>
      <c r="O66" s="2"/>
    </row>
    <row r="67" spans="3:15" x14ac:dyDescent="0.2">
      <c r="C67" s="17" t="s">
        <v>36</v>
      </c>
      <c r="D67" s="94">
        <v>1.4E-3</v>
      </c>
      <c r="E67" s="35">
        <f t="shared" si="6"/>
        <v>1.3725490196078432E-6</v>
      </c>
      <c r="F67" s="45">
        <f t="shared" si="3"/>
        <v>1.3725490196078432E-5</v>
      </c>
      <c r="G67" s="45">
        <f t="shared" si="4"/>
        <v>6.0117647058823535E-5</v>
      </c>
    </row>
    <row r="68" spans="3:15" x14ac:dyDescent="0.2">
      <c r="C68" s="17" t="s">
        <v>67</v>
      </c>
      <c r="D68" s="94">
        <v>8.3999999999999995E-5</v>
      </c>
      <c r="E68" s="35">
        <f t="shared" si="6"/>
        <v>8.2352941176470587E-8</v>
      </c>
      <c r="F68" s="45">
        <f t="shared" si="3"/>
        <v>8.2352941176470589E-7</v>
      </c>
      <c r="G68" s="45">
        <f t="shared" si="4"/>
        <v>3.6070588235294121E-6</v>
      </c>
    </row>
    <row r="69" spans="3:15" x14ac:dyDescent="0.2">
      <c r="C69" s="17" t="s">
        <v>11</v>
      </c>
      <c r="D69" s="94">
        <v>5.0000000000000001E-4</v>
      </c>
      <c r="E69" s="35">
        <f t="shared" si="6"/>
        <v>4.9019607843137254E-7</v>
      </c>
      <c r="F69" s="45">
        <f t="shared" si="3"/>
        <v>4.9019607843137256E-6</v>
      </c>
      <c r="G69" s="45">
        <f t="shared" si="4"/>
        <v>2.1470588235294119E-5</v>
      </c>
    </row>
    <row r="70" spans="3:15" x14ac:dyDescent="0.2">
      <c r="C70" s="17" t="s">
        <v>37</v>
      </c>
      <c r="D70" s="94">
        <v>3.8000000000000002E-4</v>
      </c>
      <c r="E70" s="35">
        <f t="shared" si="6"/>
        <v>3.7254901960784315E-7</v>
      </c>
      <c r="F70" s="45">
        <f t="shared" si="3"/>
        <v>3.7254901960784316E-6</v>
      </c>
      <c r="G70" s="45">
        <f t="shared" si="4"/>
        <v>1.6317647058823531E-5</v>
      </c>
    </row>
    <row r="71" spans="3:15" x14ac:dyDescent="0.2">
      <c r="C71" s="17" t="s">
        <v>68</v>
      </c>
      <c r="D71" s="94">
        <v>2.5999999999999998E-4</v>
      </c>
      <c r="E71" s="35">
        <f t="shared" si="6"/>
        <v>2.5490196078431371E-7</v>
      </c>
      <c r="F71" s="45">
        <f t="shared" si="3"/>
        <v>2.5490196078431372E-6</v>
      </c>
      <c r="G71" s="45">
        <f t="shared" si="4"/>
        <v>1.1164705882352941E-5</v>
      </c>
    </row>
    <row r="72" spans="3:15" x14ac:dyDescent="0.2">
      <c r="C72" s="17" t="s">
        <v>38</v>
      </c>
      <c r="D72" s="94">
        <v>2.0999999999999999E-3</v>
      </c>
      <c r="E72" s="35">
        <f t="shared" si="6"/>
        <v>2.0588235294117645E-6</v>
      </c>
      <c r="F72" s="45">
        <f t="shared" si="3"/>
        <v>2.0588235294117645E-5</v>
      </c>
      <c r="G72" s="45">
        <f t="shared" si="4"/>
        <v>9.0176470588235289E-5</v>
      </c>
    </row>
    <row r="73" spans="3:15" x14ac:dyDescent="0.2">
      <c r="C73" s="17" t="s">
        <v>39</v>
      </c>
      <c r="D73" s="94">
        <v>2.4000000000000001E-5</v>
      </c>
      <c r="E73" s="35">
        <f>D73/1020</f>
        <v>2.3529411764705881E-8</v>
      </c>
      <c r="F73" s="45">
        <f t="shared" si="3"/>
        <v>2.3529411764705881E-7</v>
      </c>
      <c r="G73" s="45">
        <f t="shared" si="4"/>
        <v>1.0305882352941175E-6</v>
      </c>
    </row>
    <row r="74" spans="3:15" x14ac:dyDescent="0.2">
      <c r="F74" s="25"/>
      <c r="G74" s="25"/>
    </row>
    <row r="75" spans="3:15" x14ac:dyDescent="0.2">
      <c r="F75" s="12">
        <f>SUM(F40:F74)</f>
        <v>1.8514296078431369E-2</v>
      </c>
      <c r="G75" s="12">
        <f>SUM(G40:G74)</f>
        <v>8.1092616823529418E-2</v>
      </c>
    </row>
    <row r="96" ht="12" customHeight="1" x14ac:dyDescent="0.2"/>
  </sheetData>
  <mergeCells count="1">
    <mergeCell ref="F36:G36"/>
  </mergeCells>
  <phoneticPr fontId="8" type="noConversion"/>
  <pageMargins left="0.75" right="0.75" top="1" bottom="1" header="0.5" footer="0.5"/>
  <pageSetup scale="6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8"/>
  <sheetViews>
    <sheetView zoomScale="85" workbookViewId="0">
      <selection activeCell="B10" sqref="B10"/>
    </sheetView>
  </sheetViews>
  <sheetFormatPr defaultRowHeight="12.75" x14ac:dyDescent="0.2"/>
  <sheetData>
    <row r="1" spans="1:19" ht="26.25" x14ac:dyDescent="0.4">
      <c r="A1" s="34" t="s">
        <v>182</v>
      </c>
      <c r="B1" s="34"/>
      <c r="C1" s="34"/>
      <c r="D1" s="34"/>
      <c r="E1" s="34"/>
      <c r="F1" s="34"/>
      <c r="G1" s="34"/>
      <c r="H1" s="34"/>
    </row>
    <row r="2" spans="1:19" x14ac:dyDescent="0.2">
      <c r="A2" t="s">
        <v>0</v>
      </c>
      <c r="B2" s="11" t="str">
        <f>'Controlled Emissions'!B2</f>
        <v>ABC Company</v>
      </c>
      <c r="C2" s="11"/>
    </row>
    <row r="3" spans="1:19" ht="12.75" customHeight="1" x14ac:dyDescent="0.2">
      <c r="A3" t="s">
        <v>1</v>
      </c>
      <c r="B3" s="11" t="str">
        <f>'Controlled Emissions'!B3</f>
        <v>State of Utah</v>
      </c>
      <c r="C3" s="11"/>
    </row>
    <row r="4" spans="1:19" x14ac:dyDescent="0.2">
      <c r="A4" t="s">
        <v>2</v>
      </c>
      <c r="B4" s="11" t="str">
        <f>'Controlled Emissions'!B4</f>
        <v>January 2014</v>
      </c>
      <c r="C4" s="11"/>
    </row>
    <row r="6" spans="1:19" s="2" customFormat="1" ht="15.75" x14ac:dyDescent="0.3">
      <c r="B6"/>
      <c r="C6" s="67" t="s">
        <v>6</v>
      </c>
      <c r="D6" s="68" t="s">
        <v>9</v>
      </c>
      <c r="E6" s="68" t="s">
        <v>10</v>
      </c>
      <c r="F6" s="68" t="s">
        <v>3</v>
      </c>
      <c r="G6" s="68" t="s">
        <v>11</v>
      </c>
      <c r="H6" s="68" t="s">
        <v>119</v>
      </c>
      <c r="I6" s="68" t="s">
        <v>120</v>
      </c>
      <c r="J6" s="68" t="s">
        <v>7</v>
      </c>
      <c r="K6" s="68" t="s">
        <v>4</v>
      </c>
      <c r="L6" s="68" t="s">
        <v>12</v>
      </c>
      <c r="M6" s="74" t="s">
        <v>129</v>
      </c>
    </row>
    <row r="7" spans="1:19" s="2" customFormat="1" ht="13.5" thickBot="1" x14ac:dyDescent="0.25">
      <c r="B7"/>
      <c r="C7" s="65" t="s">
        <v>14</v>
      </c>
      <c r="D7" s="22" t="s">
        <v>14</v>
      </c>
      <c r="E7" s="22" t="s">
        <v>14</v>
      </c>
      <c r="F7" s="22" t="s">
        <v>14</v>
      </c>
      <c r="G7" s="22" t="s">
        <v>14</v>
      </c>
      <c r="H7" s="22" t="s">
        <v>14</v>
      </c>
      <c r="I7" s="22" t="s">
        <v>14</v>
      </c>
      <c r="J7" s="22" t="s">
        <v>14</v>
      </c>
      <c r="K7" s="22" t="s">
        <v>14</v>
      </c>
      <c r="L7" s="22" t="s">
        <v>14</v>
      </c>
      <c r="M7" s="75" t="s">
        <v>14</v>
      </c>
    </row>
    <row r="8" spans="1:19" x14ac:dyDescent="0.2">
      <c r="B8" s="23" t="s">
        <v>5</v>
      </c>
      <c r="C8" s="62">
        <f t="shared" ref="C8:L8" si="0">C9</f>
        <v>0.19255399799999998</v>
      </c>
      <c r="D8" s="36">
        <f t="shared" si="0"/>
        <v>2.3436503999999998E-3</v>
      </c>
      <c r="E8" s="36">
        <f>H20</f>
        <v>12.634986000000001</v>
      </c>
      <c r="F8" s="36">
        <f t="shared" si="0"/>
        <v>6.0890981599936831</v>
      </c>
      <c r="G8" s="36"/>
      <c r="H8" s="36"/>
      <c r="I8" s="36">
        <f t="shared" si="0"/>
        <v>0.19255399799999998</v>
      </c>
      <c r="J8" s="36">
        <f t="shared" si="0"/>
        <v>0.19255399799999998</v>
      </c>
      <c r="K8" s="36">
        <f t="shared" si="0"/>
        <v>0.47829600000000005</v>
      </c>
      <c r="L8" s="36">
        <f t="shared" si="0"/>
        <v>0.31701109145979006</v>
      </c>
      <c r="M8" s="78">
        <f>M9</f>
        <v>559.80561</v>
      </c>
    </row>
    <row r="9" spans="1:19" x14ac:dyDescent="0.2">
      <c r="B9" s="23" t="s">
        <v>199</v>
      </c>
      <c r="C9" s="54">
        <f>SUM($H$9:$I$9)</f>
        <v>0.19255399799999998</v>
      </c>
      <c r="D9" s="29">
        <f>H27</f>
        <v>2.3436503999999998E-3</v>
      </c>
      <c r="E9" s="29">
        <f>H23</f>
        <v>3.5597804627655365</v>
      </c>
      <c r="F9" s="29">
        <f>H24</f>
        <v>6.0890981599936831</v>
      </c>
      <c r="G9" s="29"/>
      <c r="H9" s="29"/>
      <c r="I9" s="29">
        <f>H25</f>
        <v>0.19255399799999998</v>
      </c>
      <c r="J9" s="29">
        <f>H26</f>
        <v>0.19255399799999998</v>
      </c>
      <c r="K9" s="29">
        <f>H28</f>
        <v>0.47829600000000005</v>
      </c>
      <c r="L9" s="29">
        <f>H32</f>
        <v>0.31701109145979006</v>
      </c>
      <c r="M9" s="79">
        <f>G31</f>
        <v>559.80561</v>
      </c>
    </row>
    <row r="10" spans="1:19" x14ac:dyDescent="0.2">
      <c r="O10" s="2"/>
      <c r="P10" s="43"/>
      <c r="Q10" s="49"/>
      <c r="R10" s="2"/>
      <c r="S10" s="2"/>
    </row>
    <row r="11" spans="1:19" ht="15.75" x14ac:dyDescent="0.3">
      <c r="C11" s="67" t="s">
        <v>6</v>
      </c>
      <c r="D11" s="68" t="s">
        <v>9</v>
      </c>
      <c r="E11" s="68" t="s">
        <v>10</v>
      </c>
      <c r="F11" s="68" t="s">
        <v>3</v>
      </c>
      <c r="G11" s="68" t="s">
        <v>11</v>
      </c>
      <c r="H11" s="68" t="s">
        <v>119</v>
      </c>
      <c r="I11" s="68" t="s">
        <v>120</v>
      </c>
      <c r="J11" s="68" t="s">
        <v>7</v>
      </c>
      <c r="K11" s="68" t="s">
        <v>4</v>
      </c>
      <c r="L11" s="69" t="s">
        <v>12</v>
      </c>
      <c r="O11" s="2"/>
      <c r="P11" s="43"/>
      <c r="Q11" s="49"/>
      <c r="R11" s="2"/>
      <c r="S11" s="2"/>
    </row>
    <row r="12" spans="1:19" ht="13.5" thickBot="1" x14ac:dyDescent="0.25">
      <c r="C12" s="65" t="s">
        <v>15</v>
      </c>
      <c r="D12" s="22" t="s">
        <v>15</v>
      </c>
      <c r="E12" s="22" t="s">
        <v>15</v>
      </c>
      <c r="F12" s="22" t="s">
        <v>15</v>
      </c>
      <c r="G12" s="22" t="s">
        <v>15</v>
      </c>
      <c r="H12" s="22" t="s">
        <v>15</v>
      </c>
      <c r="I12" s="22" t="s">
        <v>15</v>
      </c>
      <c r="J12" s="22" t="s">
        <v>15</v>
      </c>
      <c r="K12" s="22" t="s">
        <v>15</v>
      </c>
      <c r="L12" s="66" t="s">
        <v>15</v>
      </c>
      <c r="O12" s="2"/>
      <c r="P12" s="43"/>
      <c r="Q12" s="49"/>
      <c r="R12" s="2"/>
      <c r="S12" s="2"/>
    </row>
    <row r="13" spans="1:19" x14ac:dyDescent="0.2">
      <c r="C13" s="62">
        <f t="shared" ref="C13:L13" si="1">C14</f>
        <v>4.3962099999999997E-2</v>
      </c>
      <c r="D13" s="36">
        <f t="shared" si="1"/>
        <v>5.3507999999999995E-4</v>
      </c>
      <c r="E13" s="36">
        <f>G20</f>
        <v>2.8847</v>
      </c>
      <c r="F13" s="36">
        <f t="shared" si="1"/>
        <v>1.3902050593592883</v>
      </c>
      <c r="G13" s="36"/>
      <c r="H13" s="36"/>
      <c r="I13" s="36">
        <f t="shared" si="1"/>
        <v>4.3962099999999997E-2</v>
      </c>
      <c r="J13" s="36">
        <f t="shared" si="1"/>
        <v>4.3962099999999997E-2</v>
      </c>
      <c r="K13" s="36">
        <f t="shared" si="1"/>
        <v>0.10920000000000001</v>
      </c>
      <c r="L13" s="57">
        <f t="shared" si="1"/>
        <v>7.2376961520500022E-2</v>
      </c>
      <c r="O13" s="2"/>
      <c r="P13" s="43"/>
      <c r="Q13" s="49"/>
      <c r="R13" s="2"/>
      <c r="S13" s="2"/>
    </row>
    <row r="14" spans="1:19" x14ac:dyDescent="0.2">
      <c r="C14" s="54">
        <f>SUM($H$14:$I$14)</f>
        <v>4.3962099999999997E-2</v>
      </c>
      <c r="D14" s="29">
        <f>G27</f>
        <v>5.3507999999999995E-4</v>
      </c>
      <c r="E14" s="29">
        <f>G23</f>
        <v>0.8127352654715837</v>
      </c>
      <c r="F14" s="29">
        <f>G24</f>
        <v>1.3902050593592883</v>
      </c>
      <c r="G14" s="29"/>
      <c r="H14" s="29"/>
      <c r="I14" s="29">
        <f>G25</f>
        <v>4.3962099999999997E-2</v>
      </c>
      <c r="J14" s="29">
        <f>G26</f>
        <v>4.3962099999999997E-2</v>
      </c>
      <c r="K14" s="29">
        <f>G28</f>
        <v>0.10920000000000001</v>
      </c>
      <c r="L14" s="59">
        <f>G32</f>
        <v>7.2376961520500022E-2</v>
      </c>
      <c r="O14" s="2"/>
      <c r="P14" s="43"/>
      <c r="Q14" s="49"/>
      <c r="R14" s="2"/>
      <c r="S14" s="2"/>
    </row>
    <row r="16" spans="1:19" x14ac:dyDescent="0.2">
      <c r="B16" s="8" t="s">
        <v>116</v>
      </c>
    </row>
    <row r="17" spans="2:10" x14ac:dyDescent="0.2">
      <c r="B17" s="10">
        <v>8760</v>
      </c>
      <c r="C17" s="2" t="s">
        <v>8</v>
      </c>
      <c r="J17" s="138"/>
    </row>
    <row r="18" spans="2:10" x14ac:dyDescent="0.2">
      <c r="B18" s="10">
        <v>130</v>
      </c>
      <c r="C18" s="2" t="s">
        <v>73</v>
      </c>
    </row>
    <row r="19" spans="2:10" x14ac:dyDescent="0.2">
      <c r="B19" s="107">
        <v>7000</v>
      </c>
      <c r="C19" t="s">
        <v>123</v>
      </c>
      <c r="E19" s="130" t="s">
        <v>5</v>
      </c>
      <c r="F19" s="2" t="s">
        <v>72</v>
      </c>
      <c r="G19" s="2" t="s">
        <v>18</v>
      </c>
      <c r="H19" s="2" t="s">
        <v>13</v>
      </c>
    </row>
    <row r="20" spans="2:10" ht="15.75" x14ac:dyDescent="0.3">
      <c r="B20" s="16">
        <f>B18*B19/1000000</f>
        <v>0.91</v>
      </c>
      <c r="C20" s="2" t="s">
        <v>130</v>
      </c>
      <c r="E20" s="1" t="s">
        <v>10</v>
      </c>
      <c r="F20" s="108">
        <v>3.17</v>
      </c>
      <c r="G20" s="99">
        <f>F20*$B$20</f>
        <v>2.8847</v>
      </c>
      <c r="H20" s="99">
        <f>G20*$B$17/2000</f>
        <v>12.634986000000001</v>
      </c>
    </row>
    <row r="22" spans="2:10" x14ac:dyDescent="0.2">
      <c r="C22" s="2"/>
      <c r="D22" s="2" t="s">
        <v>72</v>
      </c>
      <c r="E22" s="44" t="s">
        <v>178</v>
      </c>
      <c r="F22" s="2" t="s">
        <v>134</v>
      </c>
      <c r="G22" s="2" t="s">
        <v>18</v>
      </c>
      <c r="H22" s="2" t="s">
        <v>13</v>
      </c>
    </row>
    <row r="23" spans="2:10" ht="15.75" x14ac:dyDescent="0.3">
      <c r="C23" s="1" t="s">
        <v>10</v>
      </c>
      <c r="D23" s="108"/>
      <c r="E23" s="115">
        <v>3.8</v>
      </c>
      <c r="F23" s="115">
        <f>E23/1.34</f>
        <v>2.8358208955223878</v>
      </c>
      <c r="G23" s="99">
        <f>F23*B18/453.6</f>
        <v>0.8127352654715837</v>
      </c>
      <c r="H23" s="99">
        <f>G23*$B$17/2000</f>
        <v>3.5597804627655365</v>
      </c>
      <c r="I23" s="18" t="s">
        <v>179</v>
      </c>
    </row>
    <row r="24" spans="2:10" x14ac:dyDescent="0.2">
      <c r="C24" s="1" t="s">
        <v>3</v>
      </c>
      <c r="D24" s="108"/>
      <c r="E24" s="115">
        <v>6.5</v>
      </c>
      <c r="F24" s="115">
        <f>E24/1.34</f>
        <v>4.8507462686567164</v>
      </c>
      <c r="G24" s="99">
        <f>F24*B18/453.6</f>
        <v>1.3902050593592883</v>
      </c>
      <c r="H24" s="99">
        <f t="shared" ref="H24:H30" si="2">G24*$B$17/2000</f>
        <v>6.0890981599936831</v>
      </c>
      <c r="I24" s="18" t="s">
        <v>179</v>
      </c>
    </row>
    <row r="25" spans="2:10" ht="15.75" x14ac:dyDescent="0.3">
      <c r="C25" s="1" t="s">
        <v>6</v>
      </c>
      <c r="D25" s="108">
        <v>4.8309999999999999E-2</v>
      </c>
      <c r="E25" s="115"/>
      <c r="F25" s="115"/>
      <c r="G25" s="99">
        <f>D25*$B$20</f>
        <v>4.3962099999999997E-2</v>
      </c>
      <c r="H25" s="99">
        <f t="shared" si="2"/>
        <v>0.19255399799999998</v>
      </c>
      <c r="I25" t="s">
        <v>124</v>
      </c>
    </row>
    <row r="26" spans="2:10" ht="15.75" x14ac:dyDescent="0.3">
      <c r="C26" s="1" t="s">
        <v>7</v>
      </c>
      <c r="D26" s="108">
        <v>4.8309999999999999E-2</v>
      </c>
      <c r="E26" s="115"/>
      <c r="F26" s="115"/>
      <c r="G26" s="99">
        <f>D26*$B$20</f>
        <v>4.3962099999999997E-2</v>
      </c>
      <c r="H26" s="99">
        <f t="shared" si="2"/>
        <v>0.19255399799999998</v>
      </c>
      <c r="I26" t="s">
        <v>124</v>
      </c>
    </row>
    <row r="27" spans="2:10" ht="15.75" x14ac:dyDescent="0.3">
      <c r="C27" s="1" t="s">
        <v>9</v>
      </c>
      <c r="D27" s="108">
        <v>5.8799999999999998E-4</v>
      </c>
      <c r="E27" s="115"/>
      <c r="F27" s="115"/>
      <c r="G27" s="99">
        <f>D27*$B$20</f>
        <v>5.3507999999999995E-4</v>
      </c>
      <c r="H27" s="99">
        <f t="shared" si="2"/>
        <v>2.3436503999999998E-3</v>
      </c>
      <c r="I27" t="s">
        <v>124</v>
      </c>
    </row>
    <row r="28" spans="2:10" x14ac:dyDescent="0.2">
      <c r="C28" s="1" t="s">
        <v>4</v>
      </c>
      <c r="D28" s="108">
        <v>0.12</v>
      </c>
      <c r="E28" s="115"/>
      <c r="F28" s="115"/>
      <c r="G28" s="99">
        <f>D28*$B$20</f>
        <v>0.10920000000000001</v>
      </c>
      <c r="H28" s="99">
        <f t="shared" si="2"/>
        <v>0.47829600000000005</v>
      </c>
      <c r="I28" t="s">
        <v>124</v>
      </c>
    </row>
    <row r="29" spans="2:10" ht="15.75" x14ac:dyDescent="0.3">
      <c r="B29" s="92">
        <v>1</v>
      </c>
      <c r="C29" s="76" t="s">
        <v>126</v>
      </c>
      <c r="D29" s="106">
        <v>110</v>
      </c>
      <c r="E29" s="121"/>
      <c r="F29" s="121"/>
      <c r="G29" s="77">
        <f>D29*$B$20*B29</f>
        <v>100.10000000000001</v>
      </c>
      <c r="H29" s="77">
        <f t="shared" si="2"/>
        <v>438.43800000000005</v>
      </c>
    </row>
    <row r="30" spans="2:10" ht="15.75" x14ac:dyDescent="0.3">
      <c r="B30" s="92">
        <v>21</v>
      </c>
      <c r="C30" s="76" t="s">
        <v>127</v>
      </c>
      <c r="D30" s="106">
        <v>1.45</v>
      </c>
      <c r="E30" s="121"/>
      <c r="F30" s="121"/>
      <c r="G30" s="77">
        <f>D30*$B$20*B30</f>
        <v>27.709499999999998</v>
      </c>
      <c r="H30" s="93">
        <f t="shared" si="2"/>
        <v>121.36760999999998</v>
      </c>
    </row>
    <row r="31" spans="2:10" ht="15.75" x14ac:dyDescent="0.3">
      <c r="C31" s="76" t="s">
        <v>129</v>
      </c>
      <c r="D31" s="76"/>
      <c r="E31" s="76"/>
      <c r="F31" s="76"/>
      <c r="G31" s="247">
        <f>SUM(H29:H30)</f>
        <v>559.80561</v>
      </c>
      <c r="H31" s="248"/>
    </row>
    <row r="32" spans="2:10" x14ac:dyDescent="0.2">
      <c r="C32" s="32" t="s">
        <v>21</v>
      </c>
      <c r="D32" s="1"/>
      <c r="E32" s="1"/>
      <c r="F32" s="1"/>
      <c r="G32" s="70">
        <f>E78</f>
        <v>7.2376961520500022E-2</v>
      </c>
      <c r="H32" s="70">
        <f>F78</f>
        <v>0.31701109145979006</v>
      </c>
    </row>
    <row r="34" spans="2:7" ht="13.5" thickBot="1" x14ac:dyDescent="0.25">
      <c r="B34" s="14"/>
      <c r="C34" s="13" t="s">
        <v>12</v>
      </c>
      <c r="D34" s="14" t="s">
        <v>72</v>
      </c>
      <c r="E34" s="15" t="s">
        <v>18</v>
      </c>
      <c r="F34" s="15" t="s">
        <v>13</v>
      </c>
      <c r="G34" t="s">
        <v>124</v>
      </c>
    </row>
    <row r="35" spans="2:7" x14ac:dyDescent="0.2">
      <c r="C35" s="17" t="s">
        <v>93</v>
      </c>
      <c r="D35" s="94">
        <v>6.6299999999999999E-5</v>
      </c>
      <c r="E35" s="45">
        <f t="shared" ref="E35:E76" si="3">D35*$B$20</f>
        <v>6.0333E-5</v>
      </c>
      <c r="F35" s="45">
        <f t="shared" ref="F35:F76" si="4">E35*$B$17/2000</f>
        <v>2.6425853999999997E-4</v>
      </c>
    </row>
    <row r="36" spans="2:7" x14ac:dyDescent="0.2">
      <c r="B36" s="2"/>
      <c r="C36" s="17" t="s">
        <v>94</v>
      </c>
      <c r="D36" s="94">
        <v>5.27E-5</v>
      </c>
      <c r="E36" s="45">
        <f t="shared" si="3"/>
        <v>4.7957000000000002E-5</v>
      </c>
      <c r="F36" s="45">
        <f t="shared" si="4"/>
        <v>2.1005165999999999E-4</v>
      </c>
    </row>
    <row r="37" spans="2:7" x14ac:dyDescent="0.2">
      <c r="B37" s="2"/>
      <c r="C37" s="17" t="s">
        <v>74</v>
      </c>
      <c r="D37" s="94">
        <v>8.1999999999999998E-4</v>
      </c>
      <c r="E37" s="45">
        <f t="shared" si="3"/>
        <v>7.4620000000000003E-4</v>
      </c>
      <c r="F37" s="45">
        <f t="shared" si="4"/>
        <v>3.2683560000000005E-3</v>
      </c>
    </row>
    <row r="38" spans="2:7" x14ac:dyDescent="0.2">
      <c r="C38" s="17" t="s">
        <v>95</v>
      </c>
      <c r="D38" s="94">
        <v>4.3800000000000001E-5</v>
      </c>
      <c r="E38" s="45">
        <f t="shared" si="3"/>
        <v>3.9858000000000004E-5</v>
      </c>
      <c r="F38" s="45">
        <f t="shared" si="4"/>
        <v>1.7457804000000002E-4</v>
      </c>
    </row>
    <row r="39" spans="2:7" x14ac:dyDescent="0.2">
      <c r="C39" s="17" t="s">
        <v>96</v>
      </c>
      <c r="D39" s="94">
        <v>8.4599999999999996E-4</v>
      </c>
      <c r="E39" s="45">
        <f t="shared" si="3"/>
        <v>7.6986000000000003E-4</v>
      </c>
      <c r="F39" s="45">
        <f t="shared" si="4"/>
        <v>3.3719868000000003E-3</v>
      </c>
    </row>
    <row r="40" spans="2:7" x14ac:dyDescent="0.2">
      <c r="C40" s="17" t="s">
        <v>43</v>
      </c>
      <c r="D40" s="94">
        <v>2.1399999999999998E-5</v>
      </c>
      <c r="E40" s="45">
        <f t="shared" si="3"/>
        <v>1.9474E-5</v>
      </c>
      <c r="F40" s="45">
        <f t="shared" si="4"/>
        <v>8.5296119999999999E-5</v>
      </c>
    </row>
    <row r="41" spans="2:7" x14ac:dyDescent="0.2">
      <c r="C41" s="17" t="s">
        <v>46</v>
      </c>
      <c r="D41" s="94">
        <v>1.33E-6</v>
      </c>
      <c r="E41" s="45">
        <f t="shared" si="3"/>
        <v>1.2103000000000001E-6</v>
      </c>
      <c r="F41" s="45">
        <f t="shared" si="4"/>
        <v>5.3011139999999999E-6</v>
      </c>
    </row>
    <row r="42" spans="2:7" x14ac:dyDescent="0.2">
      <c r="C42" s="17" t="s">
        <v>47</v>
      </c>
      <c r="D42" s="94">
        <v>3.1700000000000001E-6</v>
      </c>
      <c r="E42" s="45">
        <f t="shared" si="3"/>
        <v>2.8847000000000001E-6</v>
      </c>
      <c r="F42" s="45">
        <f t="shared" si="4"/>
        <v>1.2634986E-5</v>
      </c>
    </row>
    <row r="43" spans="2:7" x14ac:dyDescent="0.2">
      <c r="C43" s="17" t="s">
        <v>75</v>
      </c>
      <c r="D43" s="94">
        <v>7.7600000000000004E-3</v>
      </c>
      <c r="E43" s="45">
        <f t="shared" si="3"/>
        <v>7.0616000000000003E-3</v>
      </c>
      <c r="F43" s="45">
        <f t="shared" si="4"/>
        <v>3.0929808E-2</v>
      </c>
    </row>
    <row r="44" spans="2:7" x14ac:dyDescent="0.2">
      <c r="C44" s="17" t="s">
        <v>76</v>
      </c>
      <c r="D44" s="94">
        <v>7.7799999999999996E-3</v>
      </c>
      <c r="E44" s="45">
        <f t="shared" si="3"/>
        <v>7.0797999999999998E-3</v>
      </c>
      <c r="F44" s="45">
        <f t="shared" si="4"/>
        <v>3.1009524E-2</v>
      </c>
    </row>
    <row r="45" spans="2:7" x14ac:dyDescent="0.2">
      <c r="C45" s="17" t="s">
        <v>48</v>
      </c>
      <c r="D45" s="94">
        <v>7.1800000000000005E-7</v>
      </c>
      <c r="E45" s="45">
        <f t="shared" si="3"/>
        <v>6.5338000000000004E-7</v>
      </c>
      <c r="F45" s="45">
        <f t="shared" si="4"/>
        <v>2.8618044000000001E-6</v>
      </c>
    </row>
    <row r="46" spans="2:7" x14ac:dyDescent="0.2">
      <c r="C46" s="17" t="s">
        <v>49</v>
      </c>
      <c r="D46" s="94">
        <v>3.3599999999999999E-7</v>
      </c>
      <c r="E46" s="45">
        <f t="shared" si="3"/>
        <v>3.0576000000000001E-7</v>
      </c>
      <c r="F46" s="45">
        <f t="shared" si="4"/>
        <v>1.3392288000000001E-6</v>
      </c>
    </row>
    <row r="47" spans="2:7" x14ac:dyDescent="0.2">
      <c r="C47" s="17" t="s">
        <v>50</v>
      </c>
      <c r="D47" s="94">
        <v>1.9400000000000001E-3</v>
      </c>
      <c r="E47" s="45">
        <f t="shared" si="3"/>
        <v>1.7654000000000001E-3</v>
      </c>
      <c r="F47" s="45">
        <f t="shared" si="4"/>
        <v>7.7324519999999999E-3</v>
      </c>
    </row>
    <row r="48" spans="2:7" x14ac:dyDescent="0.2">
      <c r="C48" s="17" t="s">
        <v>51</v>
      </c>
      <c r="D48" s="94">
        <v>5.6800000000000002E-9</v>
      </c>
      <c r="E48" s="45">
        <f t="shared" si="3"/>
        <v>5.1688000000000006E-9</v>
      </c>
      <c r="F48" s="45">
        <f t="shared" si="4"/>
        <v>2.2639344000000002E-8</v>
      </c>
    </row>
    <row r="49" spans="3:14" x14ac:dyDescent="0.2">
      <c r="C49" s="17" t="s">
        <v>52</v>
      </c>
      <c r="D49" s="94">
        <v>8.5099999999999998E-9</v>
      </c>
      <c r="E49" s="45">
        <f t="shared" si="3"/>
        <v>7.7441000000000002E-9</v>
      </c>
      <c r="F49" s="45">
        <f t="shared" si="4"/>
        <v>3.3919158000000005E-8</v>
      </c>
    </row>
    <row r="50" spans="3:14" x14ac:dyDescent="0.2">
      <c r="C50" s="17" t="s">
        <v>97</v>
      </c>
      <c r="D50" s="94">
        <v>2.3400000000000001E-8</v>
      </c>
      <c r="E50" s="45">
        <f t="shared" si="3"/>
        <v>2.1294000000000002E-8</v>
      </c>
      <c r="F50" s="45">
        <f t="shared" si="4"/>
        <v>9.3267720000000015E-8</v>
      </c>
    </row>
    <row r="51" spans="3:14" x14ac:dyDescent="0.2">
      <c r="C51" s="17" t="s">
        <v>98</v>
      </c>
      <c r="D51" s="94">
        <v>2.48E-8</v>
      </c>
      <c r="E51" s="45">
        <f t="shared" si="3"/>
        <v>2.2568000000000001E-8</v>
      </c>
      <c r="F51" s="45">
        <f t="shared" si="4"/>
        <v>9.8847840000000001E-8</v>
      </c>
    </row>
    <row r="52" spans="3:14" x14ac:dyDescent="0.2">
      <c r="C52" s="17" t="s">
        <v>54</v>
      </c>
      <c r="D52" s="94">
        <v>4.2599999999999998E-9</v>
      </c>
      <c r="E52" s="45">
        <f t="shared" si="3"/>
        <v>3.8765999999999996E-9</v>
      </c>
      <c r="F52" s="45">
        <f t="shared" si="4"/>
        <v>1.6979507999999996E-8</v>
      </c>
    </row>
    <row r="53" spans="3:14" x14ac:dyDescent="0.2">
      <c r="C53" s="17" t="s">
        <v>99</v>
      </c>
      <c r="D53" s="94">
        <v>3.9500000000000003E-6</v>
      </c>
      <c r="E53" s="45">
        <f t="shared" si="3"/>
        <v>3.5945000000000005E-6</v>
      </c>
      <c r="F53" s="45">
        <f t="shared" si="4"/>
        <v>1.5743910000000004E-5</v>
      </c>
    </row>
    <row r="54" spans="3:14" x14ac:dyDescent="0.2">
      <c r="C54" s="17" t="s">
        <v>100</v>
      </c>
      <c r="D54" s="94">
        <v>6.0699999999999998E-5</v>
      </c>
      <c r="E54" s="45">
        <f t="shared" si="3"/>
        <v>5.5237E-5</v>
      </c>
      <c r="F54" s="45">
        <f t="shared" si="4"/>
        <v>2.4193806E-4</v>
      </c>
    </row>
    <row r="55" spans="3:14" x14ac:dyDescent="0.2">
      <c r="C55" s="17" t="s">
        <v>101</v>
      </c>
      <c r="D55" s="94">
        <v>4.4400000000000002E-5</v>
      </c>
      <c r="E55" s="45">
        <f t="shared" si="3"/>
        <v>4.0404000000000001E-5</v>
      </c>
      <c r="F55" s="45">
        <f t="shared" si="4"/>
        <v>1.7696952000000003E-4</v>
      </c>
    </row>
    <row r="56" spans="3:14" x14ac:dyDescent="0.2">
      <c r="C56" s="17" t="s">
        <v>102</v>
      </c>
      <c r="D56" s="94">
        <v>4.71E-5</v>
      </c>
      <c r="E56" s="45">
        <f t="shared" si="3"/>
        <v>4.2861000000000002E-5</v>
      </c>
      <c r="F56" s="45">
        <f t="shared" si="4"/>
        <v>1.8773117999999999E-4</v>
      </c>
    </row>
    <row r="57" spans="3:14" x14ac:dyDescent="0.2">
      <c r="C57" s="17" t="s">
        <v>66</v>
      </c>
      <c r="D57" s="94">
        <v>6.7199999999999998E-7</v>
      </c>
      <c r="E57" s="45">
        <f t="shared" si="3"/>
        <v>6.1152000000000001E-7</v>
      </c>
      <c r="F57" s="45">
        <f t="shared" si="4"/>
        <v>2.6784576000000002E-6</v>
      </c>
    </row>
    <row r="58" spans="3:14" x14ac:dyDescent="0.2">
      <c r="C58" s="17" t="s">
        <v>103</v>
      </c>
      <c r="D58" s="94">
        <v>1.08E-4</v>
      </c>
      <c r="E58" s="45">
        <f t="shared" si="3"/>
        <v>9.8280000000000001E-5</v>
      </c>
      <c r="F58" s="45">
        <f t="shared" si="4"/>
        <v>4.3046640000000004E-4</v>
      </c>
      <c r="H58" s="142">
        <f>D62/1000000*7000</f>
        <v>3.8639999999999996E-4</v>
      </c>
      <c r="I58" t="s">
        <v>216</v>
      </c>
    </row>
    <row r="59" spans="3:14" x14ac:dyDescent="0.2">
      <c r="C59" s="17" t="s">
        <v>104</v>
      </c>
      <c r="D59" s="94">
        <v>7.3399999999999995E-5</v>
      </c>
      <c r="E59" s="45">
        <f t="shared" si="3"/>
        <v>6.6793999999999998E-5</v>
      </c>
      <c r="F59" s="45">
        <f t="shared" si="4"/>
        <v>2.9255771999999998E-4</v>
      </c>
    </row>
    <row r="60" spans="3:14" x14ac:dyDescent="0.2">
      <c r="C60" s="17" t="s">
        <v>63</v>
      </c>
      <c r="D60" s="94">
        <v>3.6100000000000002E-7</v>
      </c>
      <c r="E60" s="45">
        <f t="shared" si="3"/>
        <v>3.2851000000000002E-7</v>
      </c>
      <c r="F60" s="45">
        <f t="shared" si="4"/>
        <v>1.4388738000000001E-6</v>
      </c>
      <c r="H60" s="244" t="s">
        <v>207</v>
      </c>
      <c r="I60" s="246"/>
      <c r="J60" s="246"/>
      <c r="K60" s="245"/>
      <c r="L60" s="241" t="s">
        <v>208</v>
      </c>
      <c r="M60" s="242"/>
      <c r="N60" s="243"/>
    </row>
    <row r="61" spans="3:14" ht="13.5" thickBot="1" x14ac:dyDescent="0.25">
      <c r="C61" s="17" t="s">
        <v>62</v>
      </c>
      <c r="D61" s="94">
        <v>1.6899999999999999E-6</v>
      </c>
      <c r="E61" s="45">
        <f t="shared" si="3"/>
        <v>1.5378999999999999E-6</v>
      </c>
      <c r="F61" s="45">
        <f t="shared" si="4"/>
        <v>6.736002E-6</v>
      </c>
      <c r="H61" s="136" t="s">
        <v>202</v>
      </c>
      <c r="I61" s="22" t="s">
        <v>203</v>
      </c>
      <c r="J61" s="22" t="s">
        <v>204</v>
      </c>
      <c r="K61" s="66" t="s">
        <v>205</v>
      </c>
      <c r="L61" s="65" t="s">
        <v>206</v>
      </c>
      <c r="M61" s="22" t="s">
        <v>204</v>
      </c>
      <c r="N61" s="66" t="s">
        <v>205</v>
      </c>
    </row>
    <row r="62" spans="3:14" x14ac:dyDescent="0.2">
      <c r="C62" s="17" t="s">
        <v>61</v>
      </c>
      <c r="D62" s="94">
        <v>5.5199999999999999E-2</v>
      </c>
      <c r="E62" s="45">
        <f t="shared" si="3"/>
        <v>5.0231999999999999E-2</v>
      </c>
      <c r="F62" s="141">
        <f t="shared" si="4"/>
        <v>0.22001615999999999</v>
      </c>
      <c r="H62" s="137">
        <v>1.4E-2</v>
      </c>
      <c r="I62" s="5">
        <v>1.8800000000000001E-2</v>
      </c>
      <c r="J62" s="5">
        <v>3.39E-2</v>
      </c>
      <c r="K62" s="140">
        <v>6.6299999999999998E-2</v>
      </c>
      <c r="L62" s="163">
        <v>5.67E-2</v>
      </c>
      <c r="M62" s="132">
        <v>8.2500000000000004E-2</v>
      </c>
      <c r="N62" s="164">
        <v>0.1142</v>
      </c>
    </row>
    <row r="63" spans="3:14" x14ac:dyDescent="0.2">
      <c r="C63" s="17" t="s">
        <v>105</v>
      </c>
      <c r="D63" s="94">
        <v>9.9300000000000002E-9</v>
      </c>
      <c r="E63" s="45">
        <f t="shared" si="3"/>
        <v>9.0363000000000003E-9</v>
      </c>
      <c r="F63" s="45">
        <f t="shared" si="4"/>
        <v>3.9578993999999998E-8</v>
      </c>
    </row>
    <row r="64" spans="3:14" x14ac:dyDescent="0.2">
      <c r="C64" s="17" t="s">
        <v>106</v>
      </c>
      <c r="D64" s="94">
        <v>2.48E-3</v>
      </c>
      <c r="E64" s="45">
        <f t="shared" si="3"/>
        <v>2.2568000000000002E-3</v>
      </c>
      <c r="F64" s="45">
        <f t="shared" si="4"/>
        <v>9.8847840000000024E-3</v>
      </c>
      <c r="H64" s="143">
        <f>H62/$H$58</f>
        <v>36.231884057971016</v>
      </c>
      <c r="I64" s="143">
        <f t="shared" ref="I64:N64" si="5">I62/$H$58</f>
        <v>48.654244306418228</v>
      </c>
      <c r="J64" s="143">
        <f t="shared" si="5"/>
        <v>87.732919254658398</v>
      </c>
      <c r="K64" s="143">
        <f t="shared" si="5"/>
        <v>171.58385093167703</v>
      </c>
      <c r="L64" s="143">
        <f t="shared" si="5"/>
        <v>146.73913043478262</v>
      </c>
      <c r="M64" s="143">
        <f t="shared" si="5"/>
        <v>213.50931677018636</v>
      </c>
      <c r="N64" s="143">
        <f t="shared" si="5"/>
        <v>295.54865424430642</v>
      </c>
    </row>
    <row r="65" spans="3:7" x14ac:dyDescent="0.2">
      <c r="C65" s="17" t="s">
        <v>107</v>
      </c>
      <c r="D65" s="94">
        <v>1.47E-4</v>
      </c>
      <c r="E65" s="45">
        <f t="shared" si="3"/>
        <v>1.3376999999999999E-4</v>
      </c>
      <c r="F65" s="45">
        <f t="shared" si="4"/>
        <v>5.8591259999999994E-4</v>
      </c>
    </row>
    <row r="66" spans="3:7" x14ac:dyDescent="0.2">
      <c r="C66" s="17" t="s">
        <v>108</v>
      </c>
      <c r="D66" s="94">
        <v>4.4499999999999997E-4</v>
      </c>
      <c r="E66" s="45">
        <f t="shared" si="3"/>
        <v>4.0495E-4</v>
      </c>
      <c r="F66" s="45">
        <f t="shared" si="4"/>
        <v>1.773681E-3</v>
      </c>
    </row>
    <row r="67" spans="3:7" x14ac:dyDescent="0.2">
      <c r="C67" s="17" t="s">
        <v>58</v>
      </c>
      <c r="D67" s="94">
        <v>9.6299999999999996E-5</v>
      </c>
      <c r="E67" s="45">
        <f t="shared" si="3"/>
        <v>8.7633000000000006E-5</v>
      </c>
      <c r="F67" s="45">
        <f t="shared" si="4"/>
        <v>3.8383253999999998E-4</v>
      </c>
    </row>
    <row r="68" spans="3:7" x14ac:dyDescent="0.2">
      <c r="C68" s="17" t="s">
        <v>109</v>
      </c>
      <c r="D68" s="94">
        <v>1.34E-4</v>
      </c>
      <c r="E68" s="45">
        <f t="shared" si="3"/>
        <v>1.2194000000000001E-4</v>
      </c>
      <c r="F68" s="45">
        <f t="shared" si="4"/>
        <v>5.3409720000000005E-4</v>
      </c>
    </row>
    <row r="69" spans="3:7" x14ac:dyDescent="0.2">
      <c r="C69" s="17" t="s">
        <v>110</v>
      </c>
      <c r="D69" s="94">
        <v>4.97E-9</v>
      </c>
      <c r="E69" s="45">
        <f t="shared" si="3"/>
        <v>4.5227000000000005E-9</v>
      </c>
      <c r="F69" s="45">
        <f t="shared" si="4"/>
        <v>1.9809426000000002E-8</v>
      </c>
    </row>
    <row r="70" spans="3:7" x14ac:dyDescent="0.2">
      <c r="C70" s="17" t="s">
        <v>111</v>
      </c>
      <c r="D70" s="94">
        <v>3.5300000000000001E-6</v>
      </c>
      <c r="E70" s="45">
        <f t="shared" si="3"/>
        <v>3.2123000000000001E-6</v>
      </c>
      <c r="F70" s="45">
        <f t="shared" si="4"/>
        <v>1.4069874000000001E-5</v>
      </c>
    </row>
    <row r="71" spans="3:7" x14ac:dyDescent="0.2">
      <c r="C71" s="17" t="s">
        <v>112</v>
      </c>
      <c r="D71" s="94">
        <v>4.21E-5</v>
      </c>
      <c r="E71" s="45">
        <f t="shared" si="3"/>
        <v>3.8311E-5</v>
      </c>
      <c r="F71" s="45">
        <f t="shared" si="4"/>
        <v>1.6780218E-4</v>
      </c>
    </row>
    <row r="72" spans="3:7" x14ac:dyDescent="0.2">
      <c r="C72" s="17" t="s">
        <v>56</v>
      </c>
      <c r="D72" s="94">
        <v>5.8400000000000004E-7</v>
      </c>
      <c r="E72" s="45">
        <f t="shared" si="3"/>
        <v>5.3144000000000005E-7</v>
      </c>
      <c r="F72" s="45">
        <f t="shared" si="4"/>
        <v>2.3277072E-6</v>
      </c>
      <c r="G72" s="2"/>
    </row>
    <row r="73" spans="3:7" x14ac:dyDescent="0.2">
      <c r="C73" s="17" t="s">
        <v>113</v>
      </c>
      <c r="D73" s="94">
        <v>5.4799999999999997E-5</v>
      </c>
      <c r="E73" s="45">
        <f t="shared" si="3"/>
        <v>4.9867999999999998E-5</v>
      </c>
      <c r="F73" s="45">
        <f t="shared" si="4"/>
        <v>2.1842183999999998E-4</v>
      </c>
      <c r="G73" s="2"/>
    </row>
    <row r="74" spans="3:7" x14ac:dyDescent="0.2">
      <c r="C74" s="17" t="s">
        <v>55</v>
      </c>
      <c r="D74" s="94">
        <v>9.6299999999999999E-4</v>
      </c>
      <c r="E74" s="45">
        <f t="shared" si="3"/>
        <v>8.7633000000000003E-4</v>
      </c>
      <c r="F74" s="45">
        <f t="shared" si="4"/>
        <v>3.8383254000000002E-3</v>
      </c>
    </row>
    <row r="75" spans="3:7" x14ac:dyDescent="0.2">
      <c r="C75" s="17" t="s">
        <v>114</v>
      </c>
      <c r="D75" s="94">
        <v>2.4700000000000001E-5</v>
      </c>
      <c r="E75" s="45">
        <f t="shared" si="3"/>
        <v>2.2477000000000002E-5</v>
      </c>
      <c r="F75" s="45">
        <f t="shared" si="4"/>
        <v>9.844926000000001E-5</v>
      </c>
    </row>
    <row r="76" spans="3:7" x14ac:dyDescent="0.2">
      <c r="C76" s="17" t="s">
        <v>115</v>
      </c>
      <c r="D76" s="94">
        <v>2.6800000000000001E-4</v>
      </c>
      <c r="E76" s="45">
        <f t="shared" si="3"/>
        <v>2.4388000000000003E-4</v>
      </c>
      <c r="F76" s="45">
        <f t="shared" si="4"/>
        <v>1.0681944000000001E-3</v>
      </c>
    </row>
    <row r="77" spans="3:7" x14ac:dyDescent="0.2">
      <c r="E77" s="25"/>
      <c r="F77" s="25"/>
    </row>
    <row r="78" spans="3:7" x14ac:dyDescent="0.2">
      <c r="E78" s="12">
        <f>SUM(E35:E77)</f>
        <v>7.2376961520500022E-2</v>
      </c>
      <c r="F78" s="12">
        <f>SUM(F35:F77)</f>
        <v>0.31701109145979006</v>
      </c>
    </row>
  </sheetData>
  <mergeCells count="3">
    <mergeCell ref="G31:H31"/>
    <mergeCell ref="H60:K60"/>
    <mergeCell ref="L60:N60"/>
  </mergeCells>
  <phoneticPr fontId="8" type="noConversion"/>
  <pageMargins left="0.75" right="0.75" top="1" bottom="1" header="0.5" footer="0.5"/>
  <pageSetup scale="6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zoomScale="85" workbookViewId="0">
      <selection activeCell="P37" sqref="P37"/>
    </sheetView>
  </sheetViews>
  <sheetFormatPr defaultRowHeight="12.75" x14ac:dyDescent="0.2"/>
  <sheetData>
    <row r="1" spans="1:19" ht="26.25" x14ac:dyDescent="0.4">
      <c r="A1" s="34" t="s">
        <v>183</v>
      </c>
      <c r="B1" s="34"/>
      <c r="C1" s="34"/>
      <c r="D1" s="34"/>
      <c r="E1" s="34"/>
      <c r="F1" s="34"/>
      <c r="G1" s="34"/>
      <c r="H1" s="34"/>
    </row>
    <row r="2" spans="1:19" x14ac:dyDescent="0.2">
      <c r="A2" t="s">
        <v>0</v>
      </c>
      <c r="B2" s="11" t="str">
        <f>'Controlled Emissions'!B2</f>
        <v>ABC Company</v>
      </c>
      <c r="C2" s="11"/>
    </row>
    <row r="3" spans="1:19" ht="12.75" customHeight="1" x14ac:dyDescent="0.2">
      <c r="A3" t="s">
        <v>1</v>
      </c>
      <c r="B3" s="11" t="str">
        <f>'Controlled Emissions'!B3</f>
        <v>State of Utah</v>
      </c>
      <c r="C3" s="11"/>
    </row>
    <row r="4" spans="1:19" x14ac:dyDescent="0.2">
      <c r="A4" t="s">
        <v>2</v>
      </c>
      <c r="B4" s="11" t="str">
        <f>'Controlled Emissions'!B4</f>
        <v>January 2014</v>
      </c>
      <c r="C4" s="11"/>
    </row>
    <row r="6" spans="1:19" s="2" customFormat="1" ht="15.75" x14ac:dyDescent="0.3">
      <c r="B6"/>
      <c r="C6" s="67" t="s">
        <v>6</v>
      </c>
      <c r="D6" s="68" t="s">
        <v>9</v>
      </c>
      <c r="E6" s="68" t="s">
        <v>10</v>
      </c>
      <c r="F6" s="68" t="s">
        <v>3</v>
      </c>
      <c r="G6" s="68" t="s">
        <v>11</v>
      </c>
      <c r="H6" s="68" t="s">
        <v>119</v>
      </c>
      <c r="I6" s="68" t="s">
        <v>120</v>
      </c>
      <c r="J6" s="68" t="s">
        <v>7</v>
      </c>
      <c r="K6" s="68" t="s">
        <v>4</v>
      </c>
      <c r="L6" s="68" t="s">
        <v>12</v>
      </c>
      <c r="M6" s="74" t="s">
        <v>129</v>
      </c>
    </row>
    <row r="7" spans="1:19" s="2" customFormat="1" ht="13.5" thickBot="1" x14ac:dyDescent="0.25">
      <c r="B7"/>
      <c r="C7" s="65" t="s">
        <v>14</v>
      </c>
      <c r="D7" s="22" t="s">
        <v>14</v>
      </c>
      <c r="E7" s="22" t="s">
        <v>14</v>
      </c>
      <c r="F7" s="22" t="s">
        <v>14</v>
      </c>
      <c r="G7" s="22" t="s">
        <v>14</v>
      </c>
      <c r="H7" s="22" t="s">
        <v>14</v>
      </c>
      <c r="I7" s="22" t="s">
        <v>14</v>
      </c>
      <c r="J7" s="22" t="s">
        <v>14</v>
      </c>
      <c r="K7" s="22" t="s">
        <v>14</v>
      </c>
      <c r="L7" s="22" t="s">
        <v>14</v>
      </c>
      <c r="M7" s="75" t="s">
        <v>14</v>
      </c>
    </row>
    <row r="8" spans="1:19" x14ac:dyDescent="0.2">
      <c r="B8" s="23" t="s">
        <v>5</v>
      </c>
      <c r="C8" s="62"/>
      <c r="D8" s="36"/>
      <c r="E8" s="36"/>
      <c r="F8" s="36"/>
      <c r="G8" s="36"/>
      <c r="H8" s="36"/>
      <c r="I8" s="36"/>
      <c r="J8" s="36"/>
      <c r="K8" s="36">
        <f>M27</f>
        <v>18.97035</v>
      </c>
      <c r="L8" s="36">
        <f>M28</f>
        <v>2.7582861143236808</v>
      </c>
      <c r="M8" s="78">
        <f>M37</f>
        <v>912.05579560833849</v>
      </c>
    </row>
    <row r="9" spans="1:19" x14ac:dyDescent="0.2">
      <c r="B9" s="23" t="s">
        <v>199</v>
      </c>
      <c r="C9" s="54"/>
      <c r="D9" s="29"/>
      <c r="E9" s="29"/>
      <c r="F9" s="29"/>
      <c r="G9" s="29"/>
      <c r="H9" s="29"/>
      <c r="I9" s="29"/>
      <c r="J9" s="29"/>
      <c r="K9" s="29">
        <f>G27</f>
        <v>7.849800000000001</v>
      </c>
      <c r="L9" s="29">
        <f>G28</f>
        <v>1.1413597714442818</v>
      </c>
      <c r="M9" s="79">
        <f>G37</f>
        <v>377.40239818276086</v>
      </c>
    </row>
    <row r="10" spans="1:19" x14ac:dyDescent="0.2">
      <c r="O10" s="2"/>
      <c r="P10" s="43"/>
      <c r="Q10" s="49"/>
      <c r="R10" s="2"/>
      <c r="S10" s="2"/>
    </row>
    <row r="11" spans="1:19" ht="15.75" x14ac:dyDescent="0.3">
      <c r="C11" s="67" t="s">
        <v>6</v>
      </c>
      <c r="D11" s="68" t="s">
        <v>9</v>
      </c>
      <c r="E11" s="68" t="s">
        <v>10</v>
      </c>
      <c r="F11" s="68" t="s">
        <v>3</v>
      </c>
      <c r="G11" s="68" t="s">
        <v>11</v>
      </c>
      <c r="H11" s="68" t="s">
        <v>119</v>
      </c>
      <c r="I11" s="68" t="s">
        <v>120</v>
      </c>
      <c r="J11" s="68" t="s">
        <v>7</v>
      </c>
      <c r="K11" s="68" t="s">
        <v>4</v>
      </c>
      <c r="L11" s="69" t="s">
        <v>12</v>
      </c>
      <c r="O11" s="2"/>
      <c r="P11" s="43"/>
      <c r="Q11" s="49"/>
      <c r="R11" s="2"/>
      <c r="S11" s="2"/>
    </row>
    <row r="12" spans="1:19" ht="13.5" thickBot="1" x14ac:dyDescent="0.25">
      <c r="C12" s="65" t="s">
        <v>15</v>
      </c>
      <c r="D12" s="22" t="s">
        <v>15</v>
      </c>
      <c r="E12" s="22" t="s">
        <v>15</v>
      </c>
      <c r="F12" s="22" t="s">
        <v>15</v>
      </c>
      <c r="G12" s="22" t="s">
        <v>15</v>
      </c>
      <c r="H12" s="22" t="s">
        <v>15</v>
      </c>
      <c r="I12" s="22" t="s">
        <v>15</v>
      </c>
      <c r="J12" s="22" t="s">
        <v>15</v>
      </c>
      <c r="K12" s="22" t="s">
        <v>15</v>
      </c>
      <c r="L12" s="66" t="s">
        <v>15</v>
      </c>
      <c r="O12" s="2"/>
      <c r="P12" s="43"/>
      <c r="Q12" s="49"/>
      <c r="R12" s="2"/>
      <c r="S12" s="2"/>
    </row>
    <row r="13" spans="1:19" x14ac:dyDescent="0.2">
      <c r="C13" s="62"/>
      <c r="D13" s="36"/>
      <c r="E13" s="36"/>
      <c r="F13" s="36"/>
      <c r="G13" s="36"/>
      <c r="H13" s="36"/>
      <c r="I13" s="36"/>
      <c r="J13" s="36"/>
      <c r="K13" s="36">
        <f>L27</f>
        <v>4.3311301369863004</v>
      </c>
      <c r="L13" s="57">
        <f>L28</f>
        <v>0.62974568820175358</v>
      </c>
      <c r="O13" s="2"/>
      <c r="P13" s="43"/>
      <c r="Q13" s="49"/>
      <c r="R13" s="2"/>
      <c r="S13" s="2"/>
    </row>
    <row r="14" spans="1:19" x14ac:dyDescent="0.2">
      <c r="C14" s="54"/>
      <c r="D14" s="29"/>
      <c r="E14" s="29"/>
      <c r="F14" s="29"/>
      <c r="G14" s="29"/>
      <c r="H14" s="29"/>
      <c r="I14" s="29"/>
      <c r="J14" s="29"/>
      <c r="K14" s="29">
        <f>F27</f>
        <v>1.7921917808219181</v>
      </c>
      <c r="L14" s="59">
        <f>F28</f>
        <v>0.26058442270417392</v>
      </c>
      <c r="O14" s="2"/>
      <c r="P14" s="43"/>
      <c r="Q14" s="49"/>
      <c r="R14" s="2"/>
      <c r="S14" s="2"/>
    </row>
    <row r="16" spans="1:19" x14ac:dyDescent="0.2">
      <c r="D16" s="17" t="s">
        <v>80</v>
      </c>
      <c r="E16" s="19">
        <v>50000</v>
      </c>
    </row>
    <row r="17" spans="3:16" x14ac:dyDescent="0.2">
      <c r="D17" s="17" t="s">
        <v>81</v>
      </c>
      <c r="E17" s="41">
        <f>E16*42</f>
        <v>2100000</v>
      </c>
    </row>
    <row r="19" spans="3:16" ht="15.75" x14ac:dyDescent="0.3">
      <c r="C19" s="2"/>
      <c r="D19" s="17" t="s">
        <v>82</v>
      </c>
      <c r="E19" s="2" t="s">
        <v>90</v>
      </c>
      <c r="G19" t="s">
        <v>83</v>
      </c>
    </row>
    <row r="20" spans="3:16" x14ac:dyDescent="0.2">
      <c r="C20" s="2"/>
      <c r="D20" s="23" t="s">
        <v>84</v>
      </c>
      <c r="E20" s="4" t="s">
        <v>42</v>
      </c>
      <c r="F20" s="9">
        <v>0.6</v>
      </c>
      <c r="H20" s="130" t="s">
        <v>5</v>
      </c>
      <c r="I20" s="126" t="s">
        <v>42</v>
      </c>
      <c r="J20" s="9">
        <v>1.45</v>
      </c>
    </row>
    <row r="21" spans="3:16" x14ac:dyDescent="0.2">
      <c r="C21" s="2"/>
      <c r="D21" s="23" t="s">
        <v>85</v>
      </c>
      <c r="E21" s="4" t="s">
        <v>16</v>
      </c>
      <c r="F21" s="9">
        <v>12</v>
      </c>
      <c r="P21" s="2"/>
    </row>
    <row r="22" spans="3:16" x14ac:dyDescent="0.2">
      <c r="C22" s="2"/>
      <c r="D22" s="23" t="s">
        <v>86</v>
      </c>
      <c r="E22" s="42" t="s">
        <v>41</v>
      </c>
      <c r="F22" s="9">
        <v>50</v>
      </c>
      <c r="P22" s="2"/>
    </row>
    <row r="23" spans="3:16" x14ac:dyDescent="0.2">
      <c r="D23" s="21" t="s">
        <v>91</v>
      </c>
      <c r="E23" s="42" t="s">
        <v>87</v>
      </c>
      <c r="F23" s="9">
        <v>600</v>
      </c>
    </row>
    <row r="24" spans="3:16" ht="15.75" x14ac:dyDescent="0.3">
      <c r="E24" s="4" t="s">
        <v>92</v>
      </c>
      <c r="F24" s="11">
        <f>12.46*F20*F21*F22/F23</f>
        <v>7.4760000000000009</v>
      </c>
      <c r="G24" t="s">
        <v>88</v>
      </c>
      <c r="I24" s="126" t="s">
        <v>92</v>
      </c>
      <c r="J24" s="11">
        <f>12.46*J20*F21*F22/F23</f>
        <v>18.067</v>
      </c>
      <c r="K24" t="s">
        <v>88</v>
      </c>
    </row>
    <row r="26" spans="3:16" x14ac:dyDescent="0.2">
      <c r="C26" s="2"/>
      <c r="D26" s="2" t="s">
        <v>89</v>
      </c>
      <c r="E26" s="7" t="s">
        <v>19</v>
      </c>
      <c r="F26" s="2" t="s">
        <v>18</v>
      </c>
      <c r="G26" s="2" t="s">
        <v>13</v>
      </c>
      <c r="I26" s="2"/>
      <c r="J26" s="2" t="s">
        <v>89</v>
      </c>
      <c r="K26" s="7" t="s">
        <v>19</v>
      </c>
      <c r="L26" s="2" t="s">
        <v>18</v>
      </c>
      <c r="M26" s="2" t="s">
        <v>13</v>
      </c>
    </row>
    <row r="27" spans="3:16" x14ac:dyDescent="0.2">
      <c r="C27" s="1" t="s">
        <v>4</v>
      </c>
      <c r="D27" s="31">
        <f>F24</f>
        <v>7.4760000000000009</v>
      </c>
      <c r="E27" s="12">
        <f>E17*D27/1000</f>
        <v>15699.600000000002</v>
      </c>
      <c r="F27" s="24">
        <f>E27/365/24</f>
        <v>1.7921917808219181</v>
      </c>
      <c r="G27" s="24">
        <f>E27/2000</f>
        <v>7.849800000000001</v>
      </c>
      <c r="I27" s="1" t="s">
        <v>4</v>
      </c>
      <c r="J27" s="31">
        <f>J24</f>
        <v>18.067</v>
      </c>
      <c r="K27" s="12">
        <f>E17*J27/1000</f>
        <v>37940.699999999997</v>
      </c>
      <c r="L27" s="24">
        <f>K27/365/24</f>
        <v>4.3311301369863004</v>
      </c>
      <c r="M27" s="24">
        <f>K27/2000</f>
        <v>18.97035</v>
      </c>
    </row>
    <row r="28" spans="3:16" x14ac:dyDescent="0.2">
      <c r="C28" s="123" t="s">
        <v>188</v>
      </c>
      <c r="D28" s="31"/>
      <c r="E28" s="12">
        <f>SUM(E30:E35)</f>
        <v>2282.7195428885639</v>
      </c>
      <c r="F28" s="24">
        <f t="shared" ref="F28:G28" si="0">SUM(F30:F35)</f>
        <v>0.26058442270417392</v>
      </c>
      <c r="G28" s="24">
        <f t="shared" si="0"/>
        <v>1.1413597714442818</v>
      </c>
      <c r="I28" s="123" t="s">
        <v>188</v>
      </c>
      <c r="J28" s="31"/>
      <c r="K28" s="12">
        <f t="shared" ref="K28:M28" si="1">SUM(K30:K35)</f>
        <v>5516.572228647361</v>
      </c>
      <c r="L28" s="24">
        <f t="shared" si="1"/>
        <v>0.62974568820175358</v>
      </c>
      <c r="M28" s="24">
        <f t="shared" si="1"/>
        <v>2.7582861143236808</v>
      </c>
    </row>
    <row r="30" spans="3:16" x14ac:dyDescent="0.2">
      <c r="C30" s="123" t="s">
        <v>50</v>
      </c>
      <c r="D30" s="31"/>
      <c r="E30" s="12">
        <f>$E$27*'Gas Analysis'!B7</f>
        <v>285.88361840480701</v>
      </c>
      <c r="F30" s="24">
        <f t="shared" ref="F30:F35" si="2">E30/365/24</f>
        <v>3.2635116256256508E-2</v>
      </c>
      <c r="G30" s="24">
        <f t="shared" ref="G30:G35" si="3">E30/2000</f>
        <v>0.14294180920240351</v>
      </c>
      <c r="I30" s="123" t="s">
        <v>50</v>
      </c>
      <c r="J30" s="31"/>
      <c r="K30" s="12">
        <f>$K$27*'Gas Analysis'!B7</f>
        <v>690.88541114495013</v>
      </c>
      <c r="L30" s="24">
        <f t="shared" ref="L30:L35" si="4">K30/365/24</f>
        <v>7.886819761928654E-2</v>
      </c>
      <c r="M30" s="24">
        <f t="shared" ref="M30:M35" si="5">K30/2000</f>
        <v>0.34544270557247508</v>
      </c>
    </row>
    <row r="31" spans="3:16" x14ac:dyDescent="0.2">
      <c r="C31" s="123" t="s">
        <v>55</v>
      </c>
      <c r="D31" s="31"/>
      <c r="E31" s="12">
        <f>$E$27*'Gas Analysis'!B8</f>
        <v>147.31701374598731</v>
      </c>
      <c r="F31" s="24">
        <f t="shared" si="2"/>
        <v>1.6817010701596725E-2</v>
      </c>
      <c r="G31" s="24">
        <f t="shared" si="3"/>
        <v>7.3658506872993662E-2</v>
      </c>
      <c r="I31" s="123" t="s">
        <v>55</v>
      </c>
      <c r="J31" s="31"/>
      <c r="K31" s="12">
        <f>$K$27*'Gas Analysis'!B8</f>
        <v>356.0161165528026</v>
      </c>
      <c r="L31" s="24">
        <f t="shared" si="4"/>
        <v>4.064110919552541E-2</v>
      </c>
      <c r="M31" s="24">
        <f t="shared" si="5"/>
        <v>0.17800805827640129</v>
      </c>
    </row>
    <row r="32" spans="3:16" x14ac:dyDescent="0.2">
      <c r="C32" s="123" t="s">
        <v>217</v>
      </c>
      <c r="D32" s="31"/>
      <c r="E32" s="12">
        <f>$E$27*'Gas Analysis'!B9</f>
        <v>8.2110878661087874</v>
      </c>
      <c r="F32" s="24">
        <f t="shared" si="2"/>
        <v>9.3733879750100308E-4</v>
      </c>
      <c r="G32" s="24">
        <f t="shared" si="3"/>
        <v>4.1055439330543939E-3</v>
      </c>
      <c r="I32" s="123" t="s">
        <v>217</v>
      </c>
      <c r="J32" s="31"/>
      <c r="K32" s="12">
        <f>$K$27*'Gas Analysis'!B9</f>
        <v>19.843462343096231</v>
      </c>
      <c r="L32" s="24">
        <f t="shared" si="4"/>
        <v>2.2652354272940903E-3</v>
      </c>
      <c r="M32" s="24">
        <f t="shared" si="5"/>
        <v>9.9217311715481156E-3</v>
      </c>
    </row>
    <row r="33" spans="3:13" x14ac:dyDescent="0.2">
      <c r="C33" s="123" t="s">
        <v>115</v>
      </c>
      <c r="D33" s="31"/>
      <c r="E33" s="12">
        <f>$E$27*'Gas Analysis'!B10</f>
        <v>46.529497907949796</v>
      </c>
      <c r="F33" s="24">
        <f t="shared" si="2"/>
        <v>5.311586519172351E-3</v>
      </c>
      <c r="G33" s="24">
        <f t="shared" si="3"/>
        <v>2.3264748953974897E-2</v>
      </c>
      <c r="I33" s="123" t="s">
        <v>115</v>
      </c>
      <c r="J33" s="31"/>
      <c r="K33" s="12">
        <f>$K$27*'Gas Analysis'!B10</f>
        <v>112.44628661087864</v>
      </c>
      <c r="L33" s="24">
        <f t="shared" si="4"/>
        <v>1.2836334087999847E-2</v>
      </c>
      <c r="M33" s="24">
        <f t="shared" si="5"/>
        <v>5.6223143305439323E-2</v>
      </c>
    </row>
    <row r="34" spans="3:13" x14ac:dyDescent="0.2">
      <c r="C34" s="194" t="s">
        <v>238</v>
      </c>
      <c r="D34" s="31"/>
      <c r="E34" s="12">
        <f>$E$27*'Gas Analysis'!B6</f>
        <v>173.34254280136295</v>
      </c>
      <c r="F34" s="24">
        <f t="shared" ref="F34" si="6">E34/365/24</f>
        <v>1.9787961507004903E-2</v>
      </c>
      <c r="G34" s="24">
        <f t="shared" ref="G34" si="7">E34/2000</f>
        <v>8.6671271400681482E-2</v>
      </c>
      <c r="I34" s="194" t="s">
        <v>238</v>
      </c>
      <c r="J34" s="31"/>
      <c r="K34" s="12">
        <f>$K$27*'Gas Analysis'!B6</f>
        <v>418.91114510329368</v>
      </c>
      <c r="L34" s="24">
        <f t="shared" ref="L34" si="8">K34/365/24</f>
        <v>4.782090697526184E-2</v>
      </c>
      <c r="M34" s="24">
        <f t="shared" ref="M34" si="9">K34/2000</f>
        <v>0.20945557255164685</v>
      </c>
    </row>
    <row r="35" spans="3:13" x14ac:dyDescent="0.2">
      <c r="C35" s="123" t="s">
        <v>108</v>
      </c>
      <c r="D35" s="31"/>
      <c r="E35" s="12">
        <f>$E$27*'Gas Analysis'!B11</f>
        <v>1621.435782162348</v>
      </c>
      <c r="F35" s="24">
        <f t="shared" si="2"/>
        <v>0.18509540892264245</v>
      </c>
      <c r="G35" s="24">
        <f t="shared" si="3"/>
        <v>0.81071789108117398</v>
      </c>
      <c r="I35" s="123" t="s">
        <v>108</v>
      </c>
      <c r="J35" s="31"/>
      <c r="K35" s="12">
        <f>$K$27*'Gas Analysis'!B11</f>
        <v>3918.4698068923399</v>
      </c>
      <c r="L35" s="24">
        <f t="shared" si="4"/>
        <v>0.44731390489638584</v>
      </c>
      <c r="M35" s="24">
        <f t="shared" si="5"/>
        <v>1.95923490344617</v>
      </c>
    </row>
    <row r="37" spans="3:13" x14ac:dyDescent="0.2">
      <c r="C37" s="123" t="s">
        <v>190</v>
      </c>
      <c r="D37" s="31"/>
      <c r="E37" s="12">
        <f>SUM(E39:E40)</f>
        <v>754804.79636552162</v>
      </c>
      <c r="F37" s="24">
        <f t="shared" ref="F37:G37" si="10">SUM(F39:F40)</f>
        <v>86.164931091954529</v>
      </c>
      <c r="G37" s="24">
        <f t="shared" si="10"/>
        <v>377.40239818276086</v>
      </c>
      <c r="I37" s="123" t="s">
        <v>190</v>
      </c>
      <c r="J37" s="31"/>
      <c r="K37" s="12">
        <f t="shared" ref="K37:M37" si="11">SUM(K39:K40)</f>
        <v>1824111.5912166769</v>
      </c>
      <c r="L37" s="24">
        <f t="shared" si="11"/>
        <v>208.23191680555672</v>
      </c>
      <c r="M37" s="24">
        <f t="shared" si="11"/>
        <v>912.05579560833849</v>
      </c>
    </row>
    <row r="39" spans="3:13" x14ac:dyDescent="0.2">
      <c r="C39" s="123" t="s">
        <v>218</v>
      </c>
      <c r="D39" s="31"/>
      <c r="E39" s="12">
        <f>$E$27*'Gas Analysis'!B12</f>
        <v>754219.51056781912</v>
      </c>
      <c r="F39" s="24">
        <f t="shared" ref="F39:F40" si="12">E39/365/24</f>
        <v>86.098117644728219</v>
      </c>
      <c r="G39" s="24">
        <f t="shared" ref="G39:G40" si="13">E39/2000</f>
        <v>377.10975528390958</v>
      </c>
      <c r="I39" s="123" t="s">
        <v>218</v>
      </c>
      <c r="J39" s="31"/>
      <c r="K39" s="12">
        <f>$K$27*'Gas Analysis'!B12</f>
        <v>1822697.1505388957</v>
      </c>
      <c r="L39" s="24">
        <f t="shared" ref="L39:L40" si="14">K39/365/24</f>
        <v>208.07045097475978</v>
      </c>
      <c r="M39" s="24">
        <f t="shared" ref="M39:M40" si="15">K39/2000</f>
        <v>911.34857526944791</v>
      </c>
    </row>
    <row r="40" spans="3:13" x14ac:dyDescent="0.2">
      <c r="C40" s="123" t="s">
        <v>219</v>
      </c>
      <c r="D40" s="31"/>
      <c r="E40" s="12">
        <f>$E$27*'Gas Analysis'!B13</f>
        <v>585.28579770252941</v>
      </c>
      <c r="F40" s="24">
        <f t="shared" si="12"/>
        <v>6.6813447226316144E-2</v>
      </c>
      <c r="G40" s="24">
        <f t="shared" si="13"/>
        <v>0.29264289885126471</v>
      </c>
      <c r="I40" s="123" t="s">
        <v>219</v>
      </c>
      <c r="J40" s="31"/>
      <c r="K40" s="12">
        <f>$K$27*'Gas Analysis'!B13</f>
        <v>1414.4406777811125</v>
      </c>
      <c r="L40" s="24">
        <f t="shared" si="14"/>
        <v>0.16146583079693064</v>
      </c>
      <c r="M40" s="24">
        <f t="shared" si="15"/>
        <v>0.70722033889055624</v>
      </c>
    </row>
  </sheetData>
  <phoneticPr fontId="8" type="noConversion"/>
  <pageMargins left="0.75" right="0.75" top="1" bottom="1" header="0.5" footer="0.5"/>
  <pageSetup scale="7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="85" workbookViewId="0"/>
  </sheetViews>
  <sheetFormatPr defaultRowHeight="12.75" x14ac:dyDescent="0.2"/>
  <sheetData>
    <row r="1" spans="1:13" ht="26.25" x14ac:dyDescent="0.4">
      <c r="A1" s="34" t="s">
        <v>185</v>
      </c>
      <c r="B1" s="34"/>
      <c r="C1" s="34"/>
      <c r="D1" s="34"/>
      <c r="E1" s="34"/>
      <c r="F1" s="34"/>
      <c r="G1" s="34"/>
      <c r="H1" s="34"/>
      <c r="I1" s="34"/>
      <c r="J1" s="34"/>
    </row>
    <row r="2" spans="1:13" x14ac:dyDescent="0.2">
      <c r="A2" t="s">
        <v>0</v>
      </c>
      <c r="B2" s="11" t="str">
        <f>'Controlled Emissions'!B2</f>
        <v>ABC Company</v>
      </c>
      <c r="C2" s="11"/>
      <c r="D2" s="37"/>
      <c r="E2" s="37"/>
      <c r="F2" s="37"/>
    </row>
    <row r="3" spans="1:13" ht="12.75" customHeight="1" x14ac:dyDescent="0.2">
      <c r="A3" t="s">
        <v>1</v>
      </c>
      <c r="B3" s="11" t="str">
        <f>'Controlled Emissions'!B3</f>
        <v>State of Utah</v>
      </c>
      <c r="C3" s="11"/>
      <c r="D3" s="37"/>
      <c r="E3" s="37"/>
      <c r="F3" s="37"/>
    </row>
    <row r="4" spans="1:13" x14ac:dyDescent="0.2">
      <c r="A4" t="s">
        <v>2</v>
      </c>
      <c r="B4" s="11" t="str">
        <f>'Controlled Emissions'!B4</f>
        <v>January 2014</v>
      </c>
      <c r="C4" s="11"/>
      <c r="D4" s="37"/>
      <c r="E4" s="37"/>
      <c r="F4" s="37"/>
    </row>
    <row r="6" spans="1:13" s="2" customFormat="1" ht="15.75" x14ac:dyDescent="0.3">
      <c r="B6"/>
      <c r="C6" s="67" t="s">
        <v>6</v>
      </c>
      <c r="D6" s="68" t="s">
        <v>9</v>
      </c>
      <c r="E6" s="68" t="s">
        <v>10</v>
      </c>
      <c r="F6" s="68" t="s">
        <v>3</v>
      </c>
      <c r="G6" s="68" t="s">
        <v>11</v>
      </c>
      <c r="H6" s="68" t="s">
        <v>119</v>
      </c>
      <c r="I6" s="68" t="s">
        <v>120</v>
      </c>
      <c r="J6" s="68" t="s">
        <v>7</v>
      </c>
      <c r="K6" s="68" t="s">
        <v>4</v>
      </c>
      <c r="L6" s="68" t="s">
        <v>12</v>
      </c>
      <c r="M6" s="74" t="s">
        <v>129</v>
      </c>
    </row>
    <row r="7" spans="1:13" s="2" customFormat="1" ht="13.5" thickBot="1" x14ac:dyDescent="0.25">
      <c r="B7"/>
      <c r="C7" s="65" t="s">
        <v>14</v>
      </c>
      <c r="D7" s="22" t="s">
        <v>14</v>
      </c>
      <c r="E7" s="22" t="s">
        <v>14</v>
      </c>
      <c r="F7" s="22" t="s">
        <v>14</v>
      </c>
      <c r="G7" s="22" t="s">
        <v>14</v>
      </c>
      <c r="H7" s="22" t="s">
        <v>14</v>
      </c>
      <c r="I7" s="22" t="s">
        <v>14</v>
      </c>
      <c r="J7" s="22" t="s">
        <v>14</v>
      </c>
      <c r="K7" s="22" t="s">
        <v>14</v>
      </c>
      <c r="L7" s="22" t="s">
        <v>14</v>
      </c>
      <c r="M7" s="75" t="s">
        <v>14</v>
      </c>
    </row>
    <row r="8" spans="1:13" x14ac:dyDescent="0.2">
      <c r="B8" s="23" t="s">
        <v>5</v>
      </c>
      <c r="C8" s="62"/>
      <c r="D8" s="36"/>
      <c r="E8" s="36"/>
      <c r="F8" s="36"/>
      <c r="G8" s="36"/>
      <c r="H8" s="36"/>
      <c r="I8" s="36"/>
      <c r="J8" s="36"/>
      <c r="K8" s="36">
        <f>K9/(1-$F$22)</f>
        <v>10.5284</v>
      </c>
      <c r="L8" s="36">
        <f>L9/(1-$F$22)</f>
        <v>1.5308278195207492</v>
      </c>
      <c r="M8" s="78">
        <f>M9/(1-$F$22)</f>
        <v>506.18403131638735</v>
      </c>
    </row>
    <row r="9" spans="1:13" x14ac:dyDescent="0.2">
      <c r="B9" s="23" t="s">
        <v>121</v>
      </c>
      <c r="C9" s="54"/>
      <c r="D9" s="29"/>
      <c r="E9" s="29"/>
      <c r="F9" s="29"/>
      <c r="G9" s="29"/>
      <c r="H9" s="29"/>
      <c r="I9" s="29"/>
      <c r="J9" s="29"/>
      <c r="K9" s="29">
        <f>J17</f>
        <v>0.21056800000000017</v>
      </c>
      <c r="L9" s="29">
        <f>J18</f>
        <v>3.0616556390415009E-2</v>
      </c>
      <c r="M9" s="79">
        <f>J27</f>
        <v>10.123680626327756</v>
      </c>
    </row>
    <row r="10" spans="1:13" x14ac:dyDescent="0.2">
      <c r="J10" s="49"/>
      <c r="K10" s="2"/>
      <c r="L10" s="2"/>
    </row>
    <row r="11" spans="1:13" ht="15.75" x14ac:dyDescent="0.3">
      <c r="C11" s="67" t="s">
        <v>6</v>
      </c>
      <c r="D11" s="68" t="s">
        <v>9</v>
      </c>
      <c r="E11" s="68" t="s">
        <v>10</v>
      </c>
      <c r="F11" s="68" t="s">
        <v>3</v>
      </c>
      <c r="G11" s="68" t="s">
        <v>11</v>
      </c>
      <c r="H11" s="68" t="s">
        <v>119</v>
      </c>
      <c r="I11" s="68" t="s">
        <v>120</v>
      </c>
      <c r="J11" s="68" t="s">
        <v>7</v>
      </c>
      <c r="K11" s="68" t="s">
        <v>4</v>
      </c>
      <c r="L11" s="69" t="s">
        <v>12</v>
      </c>
    </row>
    <row r="12" spans="1:13" ht="13.5" thickBot="1" x14ac:dyDescent="0.25">
      <c r="C12" s="65" t="s">
        <v>15</v>
      </c>
      <c r="D12" s="22" t="s">
        <v>15</v>
      </c>
      <c r="E12" s="22" t="s">
        <v>15</v>
      </c>
      <c r="F12" s="22" t="s">
        <v>15</v>
      </c>
      <c r="G12" s="22" t="s">
        <v>15</v>
      </c>
      <c r="H12" s="22" t="s">
        <v>15</v>
      </c>
      <c r="I12" s="22" t="s">
        <v>15</v>
      </c>
      <c r="J12" s="22" t="s">
        <v>15</v>
      </c>
      <c r="K12" s="22" t="s">
        <v>15</v>
      </c>
      <c r="L12" s="66" t="s">
        <v>15</v>
      </c>
    </row>
    <row r="13" spans="1:13" x14ac:dyDescent="0.2">
      <c r="C13" s="62"/>
      <c r="D13" s="36"/>
      <c r="E13" s="36"/>
      <c r="F13" s="36"/>
      <c r="G13" s="36"/>
      <c r="H13" s="36"/>
      <c r="I13" s="36"/>
      <c r="J13" s="36"/>
      <c r="K13" s="36">
        <f>K14/(1-$F$22)</f>
        <v>2.4037442922374428</v>
      </c>
      <c r="L13" s="57">
        <f>L14/(1-$F$22)</f>
        <v>0.34950406838373266</v>
      </c>
    </row>
    <row r="14" spans="1:13" x14ac:dyDescent="0.2">
      <c r="C14" s="54"/>
      <c r="D14" s="29"/>
      <c r="E14" s="29"/>
      <c r="F14" s="29"/>
      <c r="G14" s="29"/>
      <c r="H14" s="29"/>
      <c r="I14" s="29"/>
      <c r="J14" s="29"/>
      <c r="K14" s="29">
        <f>I17</f>
        <v>4.8074885844748901E-2</v>
      </c>
      <c r="L14" s="59">
        <f>I18</f>
        <v>6.9900813676746594E-3</v>
      </c>
    </row>
    <row r="15" spans="1:13" x14ac:dyDescent="0.2">
      <c r="B15" s="23"/>
      <c r="C15" s="49"/>
      <c r="D15" s="49"/>
      <c r="E15" s="49"/>
      <c r="F15" s="49"/>
      <c r="G15" s="49"/>
      <c r="H15" s="49"/>
      <c r="I15" s="49"/>
      <c r="K15" s="2"/>
    </row>
    <row r="16" spans="1:13" x14ac:dyDescent="0.2">
      <c r="E16" s="17" t="s">
        <v>194</v>
      </c>
      <c r="F16" s="41">
        <f>'5.2'!E16</f>
        <v>50000</v>
      </c>
      <c r="G16" t="s">
        <v>195</v>
      </c>
      <c r="H16" s="2"/>
      <c r="I16" t="s">
        <v>29</v>
      </c>
      <c r="J16" t="s">
        <v>13</v>
      </c>
    </row>
    <row r="17" spans="3:10" ht="15.75" x14ac:dyDescent="0.3">
      <c r="C17" s="17" t="s">
        <v>30</v>
      </c>
      <c r="D17" t="s">
        <v>25</v>
      </c>
      <c r="F17" t="s">
        <v>19</v>
      </c>
      <c r="H17" s="1" t="s">
        <v>4</v>
      </c>
      <c r="I17" s="24">
        <f>F18/8760*(1-F22)</f>
        <v>4.8074885844748901E-2</v>
      </c>
      <c r="J17" s="24">
        <f>F18/2000*(1-F22)</f>
        <v>0.21056800000000017</v>
      </c>
    </row>
    <row r="18" spans="3:10" ht="15.75" x14ac:dyDescent="0.3">
      <c r="D18" s="17" t="s">
        <v>24</v>
      </c>
      <c r="E18" s="6" t="s">
        <v>27</v>
      </c>
      <c r="F18" s="16">
        <f>SUM(F19:F20)</f>
        <v>21056.799999999999</v>
      </c>
      <c r="H18" s="123" t="s">
        <v>188</v>
      </c>
      <c r="I18" s="24">
        <f>SUM(I20:I25)</f>
        <v>6.9900813676746594E-3</v>
      </c>
      <c r="J18" s="24">
        <f>SUM(J20:J25)</f>
        <v>3.0616556390415009E-2</v>
      </c>
    </row>
    <row r="19" spans="3:10" ht="15.75" x14ac:dyDescent="0.3">
      <c r="D19" s="17" t="s">
        <v>22</v>
      </c>
      <c r="E19" s="6" t="s">
        <v>23</v>
      </c>
      <c r="F19" s="11">
        <v>0</v>
      </c>
    </row>
    <row r="20" spans="3:10" ht="15.75" x14ac:dyDescent="0.3">
      <c r="D20" s="17" t="s">
        <v>28</v>
      </c>
      <c r="E20" s="6" t="s">
        <v>26</v>
      </c>
      <c r="F20" s="16">
        <f>5264.2*4</f>
        <v>21056.799999999999</v>
      </c>
      <c r="H20" s="195" t="s">
        <v>50</v>
      </c>
      <c r="I20" s="24">
        <f>$I$17*'Gas Analysis'!B7</f>
        <v>8.7542499934360437E-4</v>
      </c>
      <c r="J20" s="24">
        <f t="shared" ref="J20:J25" si="0">I20*8760/2000</f>
        <v>3.8343614971249871E-3</v>
      </c>
    </row>
    <row r="21" spans="3:10" x14ac:dyDescent="0.2">
      <c r="H21" s="195" t="s">
        <v>55</v>
      </c>
      <c r="I21" s="24">
        <f>$I$17*'Gas Analysis'!B8</f>
        <v>4.5111013139364337E-4</v>
      </c>
      <c r="J21" s="24">
        <f t="shared" si="0"/>
        <v>1.9758623755041578E-3</v>
      </c>
    </row>
    <row r="22" spans="3:10" x14ac:dyDescent="0.2">
      <c r="E22" s="122" t="s">
        <v>180</v>
      </c>
      <c r="F22" s="120">
        <v>0.98</v>
      </c>
      <c r="H22" s="195" t="s">
        <v>217</v>
      </c>
      <c r="I22" s="24">
        <f>$I$17*'Gas Analysis'!B9</f>
        <v>2.5143768747253608E-5</v>
      </c>
      <c r="J22" s="24">
        <f t="shared" si="0"/>
        <v>1.1012970711297081E-4</v>
      </c>
    </row>
    <row r="23" spans="3:10" x14ac:dyDescent="0.2">
      <c r="H23" s="195" t="s">
        <v>115</v>
      </c>
      <c r="I23" s="24">
        <f>$I$17*'Gas Analysis'!B10</f>
        <v>1.4248135623443712E-4</v>
      </c>
      <c r="J23" s="24">
        <f t="shared" si="0"/>
        <v>6.2406834030683455E-4</v>
      </c>
    </row>
    <row r="24" spans="3:10" x14ac:dyDescent="0.2">
      <c r="H24" s="196" t="s">
        <v>238</v>
      </c>
      <c r="I24" s="24">
        <f>$I$17*'Gas Analysis'!B6</f>
        <v>5.3080479484916962E-4</v>
      </c>
      <c r="J24" s="24">
        <f t="shared" si="0"/>
        <v>2.3249250014393628E-3</v>
      </c>
    </row>
    <row r="25" spans="3:10" x14ac:dyDescent="0.2">
      <c r="H25" s="195" t="s">
        <v>108</v>
      </c>
      <c r="I25" s="24">
        <f>$I$17*'Gas Analysis'!B11</f>
        <v>4.9651163171065514E-3</v>
      </c>
      <c r="J25" s="24">
        <f t="shared" si="0"/>
        <v>2.1747209468926696E-2</v>
      </c>
    </row>
    <row r="27" spans="3:10" x14ac:dyDescent="0.2">
      <c r="H27" s="123" t="s">
        <v>190</v>
      </c>
      <c r="I27" s="24">
        <f t="shared" ref="I27:J27" si="1">SUM(I29:I30)</f>
        <v>2.3113426087506297</v>
      </c>
      <c r="J27" s="24">
        <f t="shared" si="1"/>
        <v>10.123680626327756</v>
      </c>
    </row>
    <row r="29" spans="3:10" x14ac:dyDescent="0.2">
      <c r="H29" s="123" t="s">
        <v>218</v>
      </c>
      <c r="I29" s="24">
        <f>$I$17*'Gas Analysis'!B12</f>
        <v>2.3095503625844152</v>
      </c>
      <c r="J29" s="24">
        <f t="shared" ref="J29:J30" si="2">I29*8760/2000</f>
        <v>10.115830588119737</v>
      </c>
    </row>
    <row r="30" spans="3:10" x14ac:dyDescent="0.2">
      <c r="H30" s="123" t="s">
        <v>219</v>
      </c>
      <c r="I30" s="24">
        <f>$I$17*'Gas Analysis'!B13</f>
        <v>1.7922461662145466E-3</v>
      </c>
      <c r="J30" s="24">
        <f t="shared" si="2"/>
        <v>7.8500382080197145E-3</v>
      </c>
    </row>
  </sheetData>
  <phoneticPr fontId="8" type="noConversion"/>
  <pageMargins left="0.75" right="0.75" top="1" bottom="1" header="0.5" footer="0.5"/>
  <pageSetup scale="7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zoomScale="85" workbookViewId="0">
      <selection activeCell="M23" sqref="M23"/>
    </sheetView>
  </sheetViews>
  <sheetFormatPr defaultRowHeight="12.75" x14ac:dyDescent="0.2"/>
  <sheetData>
    <row r="1" spans="1:13" ht="26.25" x14ac:dyDescent="0.4">
      <c r="A1" s="34" t="s">
        <v>184</v>
      </c>
      <c r="B1" s="34"/>
      <c r="C1" s="34"/>
      <c r="D1" s="34"/>
      <c r="E1" s="34"/>
      <c r="F1" s="34"/>
      <c r="G1" s="34"/>
      <c r="H1" s="34"/>
      <c r="I1" s="34"/>
      <c r="J1" s="34"/>
    </row>
    <row r="2" spans="1:13" x14ac:dyDescent="0.2">
      <c r="A2" t="s">
        <v>0</v>
      </c>
      <c r="B2" s="11" t="str">
        <f>'Controlled Emissions'!B2</f>
        <v>ABC Company</v>
      </c>
      <c r="C2" s="11"/>
      <c r="D2" s="37"/>
      <c r="E2" s="37"/>
      <c r="F2" s="37"/>
    </row>
    <row r="3" spans="1:13" ht="12.75" customHeight="1" x14ac:dyDescent="0.2">
      <c r="A3" t="s">
        <v>1</v>
      </c>
      <c r="B3" s="11" t="str">
        <f>'Controlled Emissions'!B3</f>
        <v>State of Utah</v>
      </c>
      <c r="C3" s="11"/>
      <c r="D3" s="37"/>
      <c r="E3" s="37"/>
      <c r="F3" s="37"/>
    </row>
    <row r="4" spans="1:13" x14ac:dyDescent="0.2">
      <c r="A4" t="s">
        <v>2</v>
      </c>
      <c r="B4" s="11" t="str">
        <f>'Controlled Emissions'!B4</f>
        <v>January 2014</v>
      </c>
      <c r="C4" s="11"/>
      <c r="D4" s="37"/>
      <c r="E4" s="37"/>
      <c r="F4" s="37"/>
    </row>
    <row r="6" spans="1:13" s="2" customFormat="1" ht="15.75" x14ac:dyDescent="0.3">
      <c r="B6"/>
      <c r="C6" s="67" t="s">
        <v>6</v>
      </c>
      <c r="D6" s="68" t="s">
        <v>9</v>
      </c>
      <c r="E6" s="68" t="s">
        <v>10</v>
      </c>
      <c r="F6" s="68" t="s">
        <v>3</v>
      </c>
      <c r="G6" s="68" t="s">
        <v>11</v>
      </c>
      <c r="H6" s="68" t="s">
        <v>119</v>
      </c>
      <c r="I6" s="68" t="s">
        <v>120</v>
      </c>
      <c r="J6" s="68" t="s">
        <v>7</v>
      </c>
      <c r="K6" s="68" t="s">
        <v>4</v>
      </c>
      <c r="L6" s="68" t="s">
        <v>12</v>
      </c>
      <c r="M6" s="74" t="s">
        <v>129</v>
      </c>
    </row>
    <row r="7" spans="1:13" s="2" customFormat="1" ht="13.5" thickBot="1" x14ac:dyDescent="0.25">
      <c r="B7"/>
      <c r="C7" s="65" t="s">
        <v>14</v>
      </c>
      <c r="D7" s="22" t="s">
        <v>14</v>
      </c>
      <c r="E7" s="22" t="s">
        <v>14</v>
      </c>
      <c r="F7" s="22" t="s">
        <v>14</v>
      </c>
      <c r="G7" s="22" t="s">
        <v>14</v>
      </c>
      <c r="H7" s="22" t="s">
        <v>14</v>
      </c>
      <c r="I7" s="22" t="s">
        <v>14</v>
      </c>
      <c r="J7" s="22" t="s">
        <v>14</v>
      </c>
      <c r="K7" s="22" t="s">
        <v>14</v>
      </c>
      <c r="L7" s="22" t="s">
        <v>14</v>
      </c>
      <c r="M7" s="75" t="s">
        <v>14</v>
      </c>
    </row>
    <row r="8" spans="1:13" x14ac:dyDescent="0.2">
      <c r="B8" s="23" t="s">
        <v>5</v>
      </c>
      <c r="C8" s="62"/>
      <c r="D8" s="36"/>
      <c r="E8" s="36"/>
      <c r="F8" s="36"/>
      <c r="G8" s="36"/>
      <c r="H8" s="36"/>
      <c r="I8" s="36"/>
      <c r="J8" s="36"/>
      <c r="K8" s="36">
        <f>G45</f>
        <v>33.657413947078105</v>
      </c>
      <c r="L8" s="57">
        <f>L9/(1-$K$19)</f>
        <v>4.8937830632681916</v>
      </c>
      <c r="M8" s="78">
        <f>M9/(1-$K$19)</f>
        <v>1618.1799205402913</v>
      </c>
    </row>
    <row r="9" spans="1:13" x14ac:dyDescent="0.2">
      <c r="B9" s="23" t="s">
        <v>121</v>
      </c>
      <c r="C9" s="54"/>
      <c r="D9" s="29"/>
      <c r="E9" s="29"/>
      <c r="F9" s="29"/>
      <c r="G9" s="29"/>
      <c r="H9" s="29"/>
      <c r="I9" s="29"/>
      <c r="J9" s="29"/>
      <c r="K9" s="29">
        <f>G45*(1-K19)</f>
        <v>0.67314827894156271</v>
      </c>
      <c r="L9" s="29">
        <f>M46</f>
        <v>9.7875661265363914E-2</v>
      </c>
      <c r="M9" s="79">
        <f>M55</f>
        <v>32.363598410805857</v>
      </c>
    </row>
    <row r="11" spans="1:13" ht="15.75" x14ac:dyDescent="0.3">
      <c r="C11" s="67" t="s">
        <v>6</v>
      </c>
      <c r="D11" s="68" t="s">
        <v>9</v>
      </c>
      <c r="E11" s="68" t="s">
        <v>10</v>
      </c>
      <c r="F11" s="68" t="s">
        <v>3</v>
      </c>
      <c r="G11" s="68" t="s">
        <v>11</v>
      </c>
      <c r="H11" s="68" t="s">
        <v>119</v>
      </c>
      <c r="I11" s="68" t="s">
        <v>120</v>
      </c>
      <c r="J11" s="68" t="s">
        <v>7</v>
      </c>
      <c r="K11" s="68" t="s">
        <v>4</v>
      </c>
      <c r="L11" s="69" t="s">
        <v>12</v>
      </c>
    </row>
    <row r="12" spans="1:13" ht="13.5" thickBot="1" x14ac:dyDescent="0.25">
      <c r="C12" s="65" t="s">
        <v>15</v>
      </c>
      <c r="D12" s="22" t="s">
        <v>15</v>
      </c>
      <c r="E12" s="22" t="s">
        <v>15</v>
      </c>
      <c r="F12" s="22" t="s">
        <v>15</v>
      </c>
      <c r="G12" s="22" t="s">
        <v>15</v>
      </c>
      <c r="H12" s="22" t="s">
        <v>15</v>
      </c>
      <c r="I12" s="22" t="s">
        <v>15</v>
      </c>
      <c r="J12" s="22" t="s">
        <v>15</v>
      </c>
      <c r="K12" s="22" t="s">
        <v>15</v>
      </c>
      <c r="L12" s="66" t="s">
        <v>15</v>
      </c>
    </row>
    <row r="13" spans="1:13" x14ac:dyDescent="0.2">
      <c r="C13" s="62"/>
      <c r="D13" s="36"/>
      <c r="E13" s="36"/>
      <c r="F13" s="36"/>
      <c r="G13" s="36"/>
      <c r="H13" s="36"/>
      <c r="I13" s="36"/>
      <c r="J13" s="36"/>
      <c r="K13" s="36">
        <f>G45*2000/8760</f>
        <v>7.6843410838077872</v>
      </c>
      <c r="L13" s="57">
        <f>L14/(1-$K$19)</f>
        <v>1.1173020692393132</v>
      </c>
    </row>
    <row r="14" spans="1:13" x14ac:dyDescent="0.2">
      <c r="C14" s="54"/>
      <c r="D14" s="29"/>
      <c r="E14" s="29"/>
      <c r="F14" s="29"/>
      <c r="G14" s="29"/>
      <c r="H14" s="29"/>
      <c r="I14" s="29"/>
      <c r="J14" s="29"/>
      <c r="K14" s="29">
        <f>G45*2000/8760*(1-K19)</f>
        <v>0.15368682167615588</v>
      </c>
      <c r="L14" s="59">
        <f>L46</f>
        <v>2.2346041384786283E-2</v>
      </c>
    </row>
    <row r="16" spans="1:13" x14ac:dyDescent="0.2">
      <c r="A16" t="s">
        <v>135</v>
      </c>
    </row>
    <row r="17" spans="1:12" x14ac:dyDescent="0.2">
      <c r="I17" t="s">
        <v>137</v>
      </c>
    </row>
    <row r="18" spans="1:12" x14ac:dyDescent="0.2">
      <c r="A18" t="s">
        <v>136</v>
      </c>
      <c r="B18" t="s">
        <v>139</v>
      </c>
      <c r="C18" t="s">
        <v>138</v>
      </c>
      <c r="G18" s="9">
        <v>35</v>
      </c>
      <c r="I18" s="118">
        <v>78</v>
      </c>
      <c r="K18" t="s">
        <v>176</v>
      </c>
    </row>
    <row r="19" spans="1:12" x14ac:dyDescent="0.2">
      <c r="B19" t="s">
        <v>152</v>
      </c>
      <c r="C19" t="s">
        <v>166</v>
      </c>
      <c r="G19" s="9">
        <v>45</v>
      </c>
      <c r="H19" t="s">
        <v>162</v>
      </c>
      <c r="I19" s="118" t="s">
        <v>140</v>
      </c>
      <c r="K19" s="125">
        <f>'7.1'!F22</f>
        <v>0.98</v>
      </c>
    </row>
    <row r="20" spans="1:12" x14ac:dyDescent="0.2">
      <c r="B20" t="s">
        <v>141</v>
      </c>
      <c r="C20" t="s">
        <v>167</v>
      </c>
      <c r="G20" s="9">
        <v>140</v>
      </c>
      <c r="H20" t="s">
        <v>32</v>
      </c>
      <c r="I20" s="118">
        <v>60</v>
      </c>
    </row>
    <row r="21" spans="1:12" x14ac:dyDescent="0.2">
      <c r="B21" t="s">
        <v>143</v>
      </c>
      <c r="C21" t="s">
        <v>142</v>
      </c>
      <c r="G21" s="9">
        <v>1.6</v>
      </c>
      <c r="I21" s="118">
        <v>0.9</v>
      </c>
    </row>
    <row r="22" spans="1:12" x14ac:dyDescent="0.2">
      <c r="B22" t="s">
        <v>144</v>
      </c>
      <c r="C22" t="s">
        <v>168</v>
      </c>
      <c r="G22" s="191">
        <f>'5.2'!E16/365</f>
        <v>136.98630136986301</v>
      </c>
      <c r="H22" t="s">
        <v>163</v>
      </c>
      <c r="I22" s="118" t="s">
        <v>140</v>
      </c>
    </row>
    <row r="23" spans="1:12" x14ac:dyDescent="0.2">
      <c r="B23" t="s">
        <v>146</v>
      </c>
      <c r="C23" t="s">
        <v>145</v>
      </c>
      <c r="G23" s="9">
        <f>'5.2'!F22</f>
        <v>50</v>
      </c>
      <c r="H23" t="s">
        <v>164</v>
      </c>
      <c r="I23" s="118">
        <v>49</v>
      </c>
    </row>
    <row r="24" spans="1:12" x14ac:dyDescent="0.2">
      <c r="B24" t="s">
        <v>175</v>
      </c>
      <c r="C24" t="s">
        <v>147</v>
      </c>
      <c r="G24" s="9">
        <v>0.8</v>
      </c>
      <c r="I24" s="118">
        <v>0.8</v>
      </c>
    </row>
    <row r="25" spans="1:12" x14ac:dyDescent="0.2">
      <c r="B25" t="s">
        <v>148</v>
      </c>
      <c r="C25" t="s">
        <v>165</v>
      </c>
      <c r="G25" s="9">
        <v>12.64</v>
      </c>
      <c r="H25" t="s">
        <v>31</v>
      </c>
      <c r="I25" s="118">
        <v>14.7</v>
      </c>
    </row>
    <row r="30" spans="1:12" x14ac:dyDescent="0.2">
      <c r="B30" t="s">
        <v>150</v>
      </c>
      <c r="C30" t="s">
        <v>151</v>
      </c>
      <c r="G30" s="117">
        <f>G21*(1+0.00005912*G18*G20*LOG((G19+G25)/(100+G25)))</f>
        <v>1.4651357888394687</v>
      </c>
    </row>
    <row r="31" spans="1:12" x14ac:dyDescent="0.2">
      <c r="J31" s="249" t="s">
        <v>170</v>
      </c>
      <c r="K31" s="242"/>
      <c r="L31" s="250"/>
    </row>
    <row r="32" spans="1:12" x14ac:dyDescent="0.2">
      <c r="J32" s="5" t="s">
        <v>153</v>
      </c>
      <c r="K32" s="5" t="s">
        <v>154</v>
      </c>
      <c r="L32" s="5" t="s">
        <v>171</v>
      </c>
    </row>
    <row r="33" spans="2:13" x14ac:dyDescent="0.2">
      <c r="I33" s="119" t="s">
        <v>155</v>
      </c>
      <c r="J33" s="33">
        <v>3.6200000000000003E-2</v>
      </c>
      <c r="K33" s="33">
        <v>1.78E-2</v>
      </c>
      <c r="L33" s="12">
        <f>IF(G18&lt;30,J33,K33)</f>
        <v>1.78E-2</v>
      </c>
    </row>
    <row r="34" spans="2:13" x14ac:dyDescent="0.2">
      <c r="I34" s="119" t="s">
        <v>156</v>
      </c>
      <c r="J34" s="33">
        <v>1.0936999999999999</v>
      </c>
      <c r="K34" s="33">
        <v>1.1870000000000001</v>
      </c>
      <c r="L34" s="12">
        <f>IF(G18&lt;30,J34,K34)</f>
        <v>1.1870000000000001</v>
      </c>
    </row>
    <row r="35" spans="2:13" x14ac:dyDescent="0.2">
      <c r="B35" t="s">
        <v>149</v>
      </c>
      <c r="C35" t="s">
        <v>169</v>
      </c>
      <c r="G35" s="117">
        <f>(L33*G30*(G19+G25)^L34)*EXP((L35*G18)/(G20+460))</f>
        <v>12.958104369625067</v>
      </c>
      <c r="H35" t="s">
        <v>158</v>
      </c>
      <c r="I35" s="119" t="s">
        <v>157</v>
      </c>
      <c r="J35" s="33">
        <v>25.724</v>
      </c>
      <c r="K35" s="33">
        <v>23.931000000000001</v>
      </c>
      <c r="L35" s="12">
        <f>IF(G18&lt;30,J35,K35)</f>
        <v>23.931000000000001</v>
      </c>
    </row>
    <row r="40" spans="2:13" x14ac:dyDescent="0.2">
      <c r="B40" t="s">
        <v>159</v>
      </c>
      <c r="C40" t="s">
        <v>172</v>
      </c>
      <c r="G40" s="117">
        <f>(G35*G22*G23*365)/(G41*2000)</f>
        <v>42.071767433847626</v>
      </c>
      <c r="H40" t="s">
        <v>13</v>
      </c>
    </row>
    <row r="41" spans="2:13" x14ac:dyDescent="0.2">
      <c r="C41" t="s">
        <v>173</v>
      </c>
      <c r="G41" s="87">
        <v>385</v>
      </c>
      <c r="H41" t="s">
        <v>174</v>
      </c>
    </row>
    <row r="44" spans="2:13" x14ac:dyDescent="0.2">
      <c r="K44" s="2"/>
      <c r="L44" t="s">
        <v>29</v>
      </c>
      <c r="M44" t="s">
        <v>13</v>
      </c>
    </row>
    <row r="45" spans="2:13" x14ac:dyDescent="0.2">
      <c r="B45" t="s">
        <v>4</v>
      </c>
      <c r="C45" t="s">
        <v>177</v>
      </c>
      <c r="G45" s="117">
        <f>G40*G24</f>
        <v>33.657413947078105</v>
      </c>
      <c r="H45" t="s">
        <v>13</v>
      </c>
      <c r="K45" s="1" t="s">
        <v>4</v>
      </c>
      <c r="L45" s="70">
        <f>K14</f>
        <v>0.15368682167615588</v>
      </c>
      <c r="M45" s="70">
        <f>K9</f>
        <v>0.67314827894156271</v>
      </c>
    </row>
    <row r="46" spans="2:13" x14ac:dyDescent="0.2">
      <c r="C46" t="s">
        <v>160</v>
      </c>
      <c r="K46" s="123" t="s">
        <v>188</v>
      </c>
      <c r="L46" s="24">
        <f>SUM(L48:L53)</f>
        <v>2.2346041384786283E-2</v>
      </c>
      <c r="M46" s="24">
        <f>SUM(M48:M53)</f>
        <v>9.7875661265363914E-2</v>
      </c>
    </row>
    <row r="48" spans="2:13" x14ac:dyDescent="0.2">
      <c r="K48" s="195" t="s">
        <v>50</v>
      </c>
      <c r="L48" s="24">
        <f>$L$45*'Gas Analysis'!B7</f>
        <v>2.7985773320284442E-3</v>
      </c>
      <c r="M48" s="24">
        <f>L48*8760/2000</f>
        <v>1.2257768714284585E-2</v>
      </c>
    </row>
    <row r="49" spans="11:13" x14ac:dyDescent="0.2">
      <c r="K49" s="195" t="s">
        <v>55</v>
      </c>
      <c r="L49" s="24">
        <f>$L$45*'Gas Analysis'!B8</f>
        <v>1.4421185012002443E-3</v>
      </c>
      <c r="M49" s="24">
        <f t="shared" ref="M49:M51" si="0">L49*8760/2000</f>
        <v>6.3164790352570705E-3</v>
      </c>
    </row>
    <row r="50" spans="11:13" x14ac:dyDescent="0.2">
      <c r="K50" s="195" t="s">
        <v>217</v>
      </c>
      <c r="L50" s="24">
        <f>$L$45*'Gas Analysis'!B9</f>
        <v>8.0380136859914162E-5</v>
      </c>
      <c r="M50" s="24">
        <f t="shared" si="0"/>
        <v>3.5206499944642403E-4</v>
      </c>
    </row>
    <row r="51" spans="11:13" x14ac:dyDescent="0.2">
      <c r="K51" s="195" t="s">
        <v>115</v>
      </c>
      <c r="L51" s="24">
        <f>$L$45*'Gas Analysis'!B10</f>
        <v>4.5548744220618023E-4</v>
      </c>
      <c r="M51" s="24">
        <f t="shared" si="0"/>
        <v>1.9950349968630692E-3</v>
      </c>
    </row>
    <row r="52" spans="11:13" x14ac:dyDescent="0.2">
      <c r="K52" s="196" t="s">
        <v>238</v>
      </c>
      <c r="L52" s="24">
        <f>$L$45*'Gas Analysis'!B6</f>
        <v>1.6968881031621495E-3</v>
      </c>
      <c r="M52" s="24">
        <f t="shared" ref="M52" si="1">L52*8760/2000</f>
        <v>7.4323698918502146E-3</v>
      </c>
    </row>
    <row r="53" spans="11:13" x14ac:dyDescent="0.2">
      <c r="K53" s="195" t="s">
        <v>108</v>
      </c>
      <c r="L53" s="24">
        <f>$L$45*'Gas Analysis'!B11</f>
        <v>1.5872589869329351E-2</v>
      </c>
      <c r="M53" s="24">
        <f>L53*8760/2000</f>
        <v>6.952194362766255E-2</v>
      </c>
    </row>
    <row r="55" spans="11:13" x14ac:dyDescent="0.2">
      <c r="K55" s="123" t="s">
        <v>190</v>
      </c>
      <c r="L55" s="24">
        <f t="shared" ref="L55:M55" si="2">SUM(L57:L58)</f>
        <v>7.3889494088597836</v>
      </c>
      <c r="M55" s="24">
        <f t="shared" si="2"/>
        <v>32.363598410805857</v>
      </c>
    </row>
    <row r="57" spans="11:13" x14ac:dyDescent="0.2">
      <c r="K57" s="123" t="s">
        <v>218</v>
      </c>
      <c r="L57" s="24">
        <f>$L$45*'Gas Analysis'!B12</f>
        <v>7.3832199180433875</v>
      </c>
      <c r="M57" s="24">
        <f t="shared" ref="M57:M58" si="3">L57*8760/2000</f>
        <v>32.33850324103004</v>
      </c>
    </row>
    <row r="58" spans="11:13" x14ac:dyDescent="0.2">
      <c r="K58" s="123" t="s">
        <v>219</v>
      </c>
      <c r="L58" s="24">
        <f>$L$45*'Gas Analysis'!B13</f>
        <v>5.7294908163962955E-3</v>
      </c>
      <c r="M58" s="24">
        <f t="shared" si="3"/>
        <v>2.5095169775815773E-2</v>
      </c>
    </row>
  </sheetData>
  <mergeCells count="1">
    <mergeCell ref="J31:L31"/>
  </mergeCells>
  <phoneticPr fontId="8" type="noConversion"/>
  <pageMargins left="0.75" right="0.75" top="1" bottom="1" header="0.5" footer="0.5"/>
  <pageSetup scale="76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20483" r:id="rId4">
          <objectPr defaultSize="0" autoPict="0" r:id="rId5">
            <anchor moveWithCells="1">
              <from>
                <xdr:col>0</xdr:col>
                <xdr:colOff>476250</xdr:colOff>
                <xdr:row>19</xdr:row>
                <xdr:rowOff>66675</xdr:rowOff>
              </from>
              <to>
                <xdr:col>5</xdr:col>
                <xdr:colOff>219075</xdr:colOff>
                <xdr:row>21</xdr:row>
                <xdr:rowOff>85725</xdr:rowOff>
              </to>
            </anchor>
          </objectPr>
        </oleObject>
      </mc:Choice>
      <mc:Fallback>
        <oleObject progId="Equation.3" shapeId="20483" r:id="rId4"/>
      </mc:Fallback>
    </mc:AlternateContent>
    <mc:AlternateContent xmlns:mc="http://schemas.openxmlformats.org/markup-compatibility/2006">
      <mc:Choice Requires="x14">
        <oleObject progId="Equation.3" shapeId="20485" r:id="rId6">
          <objectPr defaultSize="0" autoPict="0" r:id="rId7">
            <anchor moveWithCells="1">
              <from>
                <xdr:col>0</xdr:col>
                <xdr:colOff>476250</xdr:colOff>
                <xdr:row>23</xdr:row>
                <xdr:rowOff>28575</xdr:rowOff>
              </from>
              <to>
                <xdr:col>5</xdr:col>
                <xdr:colOff>190500</xdr:colOff>
                <xdr:row>25</xdr:row>
                <xdr:rowOff>47625</xdr:rowOff>
              </to>
            </anchor>
          </objectPr>
        </oleObject>
      </mc:Choice>
      <mc:Fallback>
        <oleObject progId="Equation.3" shapeId="20485" r:id="rId6"/>
      </mc:Fallback>
    </mc:AlternateContent>
    <mc:AlternateContent xmlns:mc="http://schemas.openxmlformats.org/markup-compatibility/2006">
      <mc:Choice Requires="x14">
        <oleObject progId="Equation.3" shapeId="20487" r:id="rId8">
          <objectPr defaultSize="0" autoPict="0" r:id="rId9">
            <anchor moveWithCells="1">
              <from>
                <xdr:col>0</xdr:col>
                <xdr:colOff>476250</xdr:colOff>
                <xdr:row>26</xdr:row>
                <xdr:rowOff>161925</xdr:rowOff>
              </from>
              <to>
                <xdr:col>4</xdr:col>
                <xdr:colOff>257175</xdr:colOff>
                <xdr:row>29</xdr:row>
                <xdr:rowOff>9525</xdr:rowOff>
              </to>
            </anchor>
          </objectPr>
        </oleObject>
      </mc:Choice>
      <mc:Fallback>
        <oleObject progId="Equation.3" shapeId="20487" r:id="rId8"/>
      </mc:Fallback>
    </mc:AlternateContent>
    <mc:AlternateContent xmlns:mc="http://schemas.openxmlformats.org/markup-compatibility/2006">
      <mc:Choice Requires="x14">
        <oleObject progId="Equation.3" shapeId="20489" r:id="rId10">
          <objectPr defaultSize="0" autoPict="0" r:id="rId11">
            <anchor moveWithCells="1">
              <from>
                <xdr:col>0</xdr:col>
                <xdr:colOff>476250</xdr:colOff>
                <xdr:row>31</xdr:row>
                <xdr:rowOff>85725</xdr:rowOff>
              </from>
              <to>
                <xdr:col>3</xdr:col>
                <xdr:colOff>209550</xdr:colOff>
                <xdr:row>32</xdr:row>
                <xdr:rowOff>133350</xdr:rowOff>
              </to>
            </anchor>
          </objectPr>
        </oleObject>
      </mc:Choice>
      <mc:Fallback>
        <oleObject progId="Equation.3" shapeId="20489" r:id="rId10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="85" workbookViewId="0">
      <selection activeCell="A5" sqref="A5"/>
    </sheetView>
  </sheetViews>
  <sheetFormatPr defaultRowHeight="12.75" x14ac:dyDescent="0.2"/>
  <sheetData>
    <row r="1" spans="1:13" ht="26.25" x14ac:dyDescent="0.4">
      <c r="A1" s="34" t="s">
        <v>192</v>
      </c>
      <c r="B1" s="34"/>
      <c r="C1" s="34"/>
      <c r="D1" s="34"/>
      <c r="E1" s="34"/>
      <c r="F1" s="34"/>
      <c r="G1" s="34"/>
      <c r="H1" s="34"/>
      <c r="I1" s="34"/>
      <c r="J1" s="34"/>
    </row>
    <row r="2" spans="1:13" x14ac:dyDescent="0.2">
      <c r="A2" t="s">
        <v>0</v>
      </c>
      <c r="B2" s="11" t="str">
        <f>'Controlled Emissions'!B2</f>
        <v>ABC Company</v>
      </c>
      <c r="C2" s="11"/>
      <c r="D2" s="37"/>
      <c r="E2" s="37"/>
      <c r="F2" s="37"/>
    </row>
    <row r="3" spans="1:13" ht="12.75" customHeight="1" x14ac:dyDescent="0.2">
      <c r="A3" t="s">
        <v>1</v>
      </c>
      <c r="B3" s="11" t="str">
        <f>'Controlled Emissions'!B3</f>
        <v>State of Utah</v>
      </c>
      <c r="C3" s="11"/>
      <c r="D3" s="37"/>
      <c r="E3" s="37"/>
      <c r="F3" s="37"/>
    </row>
    <row r="4" spans="1:13" x14ac:dyDescent="0.2">
      <c r="A4" t="s">
        <v>2</v>
      </c>
      <c r="B4" s="11" t="str">
        <f>'Controlled Emissions'!B4</f>
        <v>January 2014</v>
      </c>
      <c r="C4" s="11"/>
      <c r="D4" s="37"/>
      <c r="E4" s="37"/>
      <c r="F4" s="37"/>
    </row>
    <row r="6" spans="1:13" s="2" customFormat="1" ht="15.75" x14ac:dyDescent="0.3">
      <c r="B6"/>
      <c r="C6" s="67" t="s">
        <v>6</v>
      </c>
      <c r="D6" s="68" t="s">
        <v>9</v>
      </c>
      <c r="E6" s="68" t="s">
        <v>10</v>
      </c>
      <c r="F6" s="68" t="s">
        <v>3</v>
      </c>
      <c r="G6" s="68" t="s">
        <v>11</v>
      </c>
      <c r="H6" s="68" t="s">
        <v>119</v>
      </c>
      <c r="I6" s="68" t="s">
        <v>120</v>
      </c>
      <c r="J6" s="68" t="s">
        <v>7</v>
      </c>
      <c r="K6" s="68" t="s">
        <v>4</v>
      </c>
      <c r="L6" s="68" t="s">
        <v>12</v>
      </c>
      <c r="M6" s="74" t="s">
        <v>129</v>
      </c>
    </row>
    <row r="7" spans="1:13" s="2" customFormat="1" ht="13.5" thickBot="1" x14ac:dyDescent="0.25">
      <c r="B7"/>
      <c r="C7" s="65" t="s">
        <v>14</v>
      </c>
      <c r="D7" s="22" t="s">
        <v>14</v>
      </c>
      <c r="E7" s="22" t="s">
        <v>14</v>
      </c>
      <c r="F7" s="22" t="s">
        <v>14</v>
      </c>
      <c r="G7" s="22" t="s">
        <v>14</v>
      </c>
      <c r="H7" s="22" t="s">
        <v>14</v>
      </c>
      <c r="I7" s="22" t="s">
        <v>14</v>
      </c>
      <c r="J7" s="22" t="s">
        <v>14</v>
      </c>
      <c r="K7" s="22" t="s">
        <v>14</v>
      </c>
      <c r="L7" s="22" t="s">
        <v>14</v>
      </c>
      <c r="M7" s="75" t="s">
        <v>14</v>
      </c>
    </row>
    <row r="8" spans="1:13" x14ac:dyDescent="0.2">
      <c r="B8" s="23" t="s">
        <v>5</v>
      </c>
      <c r="C8" s="62"/>
      <c r="D8" s="36"/>
      <c r="E8" s="36"/>
      <c r="F8" s="36"/>
      <c r="G8" s="36"/>
      <c r="H8" s="36"/>
      <c r="I8" s="36"/>
      <c r="J8" s="36"/>
      <c r="K8" s="36">
        <f>E17</f>
        <v>1.023E-2</v>
      </c>
      <c r="L8" s="36">
        <f>E18</f>
        <v>1.023E-2</v>
      </c>
      <c r="M8" s="78">
        <v>0</v>
      </c>
    </row>
    <row r="9" spans="1:13" x14ac:dyDescent="0.2">
      <c r="B9" s="23" t="s">
        <v>121</v>
      </c>
      <c r="C9" s="54"/>
      <c r="D9" s="29"/>
      <c r="E9" s="29"/>
      <c r="F9" s="29"/>
      <c r="G9" s="29"/>
      <c r="H9" s="29"/>
      <c r="I9" s="29"/>
      <c r="J9" s="29"/>
      <c r="K9" s="29">
        <f>E17</f>
        <v>1.023E-2</v>
      </c>
      <c r="L9" s="29">
        <f>E18</f>
        <v>1.023E-2</v>
      </c>
      <c r="M9" s="79">
        <v>0</v>
      </c>
    </row>
    <row r="10" spans="1:13" x14ac:dyDescent="0.2">
      <c r="J10" s="49"/>
      <c r="K10" s="2"/>
      <c r="L10" s="2"/>
    </row>
    <row r="11" spans="1:13" ht="15.75" x14ac:dyDescent="0.3">
      <c r="C11" s="67" t="s">
        <v>6</v>
      </c>
      <c r="D11" s="68" t="s">
        <v>9</v>
      </c>
      <c r="E11" s="68" t="s">
        <v>10</v>
      </c>
      <c r="F11" s="68" t="s">
        <v>3</v>
      </c>
      <c r="G11" s="68" t="s">
        <v>11</v>
      </c>
      <c r="H11" s="68" t="s">
        <v>119</v>
      </c>
      <c r="I11" s="68" t="s">
        <v>120</v>
      </c>
      <c r="J11" s="68" t="s">
        <v>7</v>
      </c>
      <c r="K11" s="68" t="s">
        <v>4</v>
      </c>
      <c r="L11" s="69" t="s">
        <v>12</v>
      </c>
    </row>
    <row r="12" spans="1:13" ht="13.5" thickBot="1" x14ac:dyDescent="0.25">
      <c r="C12" s="65" t="s">
        <v>15</v>
      </c>
      <c r="D12" s="22" t="s">
        <v>15</v>
      </c>
      <c r="E12" s="22" t="s">
        <v>15</v>
      </c>
      <c r="F12" s="22" t="s">
        <v>15</v>
      </c>
      <c r="G12" s="22" t="s">
        <v>15</v>
      </c>
      <c r="H12" s="22" t="s">
        <v>15</v>
      </c>
      <c r="I12" s="22" t="s">
        <v>15</v>
      </c>
      <c r="J12" s="22" t="s">
        <v>15</v>
      </c>
      <c r="K12" s="22" t="s">
        <v>15</v>
      </c>
      <c r="L12" s="66" t="s">
        <v>15</v>
      </c>
    </row>
    <row r="13" spans="1:13" x14ac:dyDescent="0.2">
      <c r="C13" s="62"/>
      <c r="D13" s="36"/>
      <c r="E13" s="36"/>
      <c r="F13" s="36"/>
      <c r="G13" s="36"/>
      <c r="H13" s="36"/>
      <c r="I13" s="36"/>
      <c r="J13" s="36"/>
      <c r="K13" s="36">
        <f>D17</f>
        <v>2.3356164383561647E-3</v>
      </c>
      <c r="L13" s="57">
        <f>D18</f>
        <v>2.3356164383561647E-3</v>
      </c>
    </row>
    <row r="14" spans="1:13" x14ac:dyDescent="0.2">
      <c r="C14" s="54"/>
      <c r="D14" s="29"/>
      <c r="E14" s="29"/>
      <c r="F14" s="29"/>
      <c r="G14" s="29"/>
      <c r="H14" s="29"/>
      <c r="I14" s="29"/>
      <c r="J14" s="29"/>
      <c r="K14" s="29">
        <f>D17</f>
        <v>2.3356164383561647E-3</v>
      </c>
      <c r="L14" s="59">
        <f>D18</f>
        <v>2.3356164383561647E-3</v>
      </c>
    </row>
    <row r="15" spans="1:13" x14ac:dyDescent="0.2">
      <c r="B15" s="23"/>
      <c r="C15" s="49"/>
      <c r="D15" s="49"/>
      <c r="E15" s="49"/>
      <c r="F15" s="49"/>
      <c r="G15" s="49"/>
      <c r="H15" s="49"/>
      <c r="I15" s="49"/>
      <c r="K15" s="2"/>
    </row>
    <row r="16" spans="1:13" x14ac:dyDescent="0.2">
      <c r="D16" t="s">
        <v>29</v>
      </c>
      <c r="E16" t="s">
        <v>13</v>
      </c>
    </row>
    <row r="17" spans="2:12" x14ac:dyDescent="0.2">
      <c r="C17" s="237" t="s">
        <v>4</v>
      </c>
      <c r="D17" s="233">
        <f>SUM(D21:D22)</f>
        <v>2.3356164383561647E-3</v>
      </c>
      <c r="E17" s="70">
        <f>SUM(E21:E22)</f>
        <v>1.023E-2</v>
      </c>
      <c r="G17" t="s">
        <v>285</v>
      </c>
      <c r="H17">
        <v>6</v>
      </c>
      <c r="J17" t="s">
        <v>287</v>
      </c>
      <c r="K17">
        <f>(PI()*H18^2/4)*H17</f>
        <v>75.398223686155035</v>
      </c>
      <c r="L17" t="s">
        <v>288</v>
      </c>
    </row>
    <row r="18" spans="2:12" x14ac:dyDescent="0.2">
      <c r="C18" s="238" t="s">
        <v>188</v>
      </c>
      <c r="D18" s="233">
        <f>SUM(D21:D22)</f>
        <v>2.3356164383561647E-3</v>
      </c>
      <c r="E18" s="70">
        <f>SUM(E21:E22)</f>
        <v>1.023E-2</v>
      </c>
      <c r="G18" t="s">
        <v>286</v>
      </c>
      <c r="H18">
        <v>4</v>
      </c>
      <c r="K18">
        <f>K17*7.48</f>
        <v>563.97871317243971</v>
      </c>
      <c r="L18" t="s">
        <v>289</v>
      </c>
    </row>
    <row r="20" spans="2:12" x14ac:dyDescent="0.2">
      <c r="C20" t="s">
        <v>290</v>
      </c>
      <c r="D20" t="s">
        <v>29</v>
      </c>
      <c r="E20" t="s">
        <v>13</v>
      </c>
    </row>
    <row r="21" spans="2:12" x14ac:dyDescent="0.2">
      <c r="B21" s="17" t="s">
        <v>291</v>
      </c>
      <c r="C21" s="71">
        <v>0.02</v>
      </c>
      <c r="D21" s="70">
        <f>C21/8760</f>
        <v>2.2831050228310503E-6</v>
      </c>
      <c r="E21" s="70">
        <f>C21/2000</f>
        <v>1.0000000000000001E-5</v>
      </c>
    </row>
    <row r="22" spans="2:12" x14ac:dyDescent="0.2">
      <c r="B22" s="17" t="s">
        <v>106</v>
      </c>
      <c r="C22" s="71">
        <v>20.440000000000001</v>
      </c>
      <c r="D22" s="70">
        <f>C22/8760</f>
        <v>2.3333333333333335E-3</v>
      </c>
      <c r="E22" s="70">
        <f>C22/2000</f>
        <v>1.022E-2</v>
      </c>
    </row>
  </sheetData>
  <pageMargins left="0.75" right="0.75" top="1" bottom="1" header="0.5" footer="0.5"/>
  <pageSetup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UnControlled Emissions</vt:lpstr>
      <vt:lpstr>Controlled Emissions</vt:lpstr>
      <vt:lpstr>HAP</vt:lpstr>
      <vt:lpstr>1.4</vt:lpstr>
      <vt:lpstr>3.2</vt:lpstr>
      <vt:lpstr>5.2</vt:lpstr>
      <vt:lpstr>7.1</vt:lpstr>
      <vt:lpstr>V-B</vt:lpstr>
      <vt:lpstr>7.1a</vt:lpstr>
      <vt:lpstr>13.5</vt:lpstr>
      <vt:lpstr>Dehy</vt:lpstr>
      <vt:lpstr>Pneu</vt:lpstr>
      <vt:lpstr>Fug</vt:lpstr>
      <vt:lpstr>Gas Analysis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Emission Calculations</dc:title>
  <dc:subject>Emissions</dc:subject>
  <dc:creator>Dept Environmental Quality</dc:creator>
  <cp:lastModifiedBy> </cp:lastModifiedBy>
  <cp:lastPrinted>2014-02-04T19:29:54Z</cp:lastPrinted>
  <dcterms:created xsi:type="dcterms:W3CDTF">2000-06-29T19:07:39Z</dcterms:created>
  <dcterms:modified xsi:type="dcterms:W3CDTF">2014-02-04T19:29:59Z</dcterms:modified>
</cp:coreProperties>
</file>